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440" windowHeight="12540" activeTab="0"/>
  </bookViews>
  <sheets>
    <sheet name="Φύλλο1" sheetId="1" r:id="rId1"/>
  </sheets>
  <definedNames>
    <definedName name="_xlnm.Print_Area" localSheetId="0">'Φύλλο1'!$A$1:$G$64</definedName>
  </definedNames>
  <calcPr fullCalcOnLoad="1"/>
</workbook>
</file>

<file path=xl/comments1.xml><?xml version="1.0" encoding="utf-8"?>
<comments xmlns="http://schemas.openxmlformats.org/spreadsheetml/2006/main">
  <authors>
    <author>user</author>
  </authors>
  <commentList>
    <comment ref="F18" authorId="0">
      <text>
        <r>
          <rPr>
            <b/>
            <u val="single"/>
            <sz val="12"/>
            <rFont val="Tahoma"/>
            <family val="2"/>
          </rPr>
          <t>ΠΡΟΣΟΧΗ:</t>
        </r>
        <r>
          <rPr>
            <b/>
            <sz val="10"/>
            <rFont val="Tahoma"/>
            <family val="2"/>
          </rPr>
          <t xml:space="preserve">
ΣΥΜΠΛΗΡΩΝΟΝΤΑΙ ΟΛΟΙ ΟΙ ΑΡΙΘΜΟΙ ΤΟΥ Κ.Α.Δ. ΟΠΩΣ ΕΧΟΥΝ ΔΗΛΩΘΕΙ ΣΤΟ ΜΗΤΡΩΟ ΤΗΣ Δ.Ο.Υ, </t>
        </r>
        <r>
          <rPr>
            <b/>
            <sz val="10"/>
            <color indexed="10"/>
            <rFont val="Tahoma"/>
            <family val="2"/>
          </rPr>
          <t>ΜΕ ΤΕΛΕΙΑ ΜΕΤΑΞΥ ΚΑΘΕ ΔΥΟ ΑΡΙΘΜΩΝ ΧΩΡΙΣ ΚΕΝΑ (ΟΧΙ ΚΟΜΜΑ, ΚΑΘΕΤΟ ή ΠΑΥΛΑ).</t>
        </r>
        <r>
          <rPr>
            <b/>
            <u val="single"/>
            <sz val="10"/>
            <rFont val="Tahoma"/>
            <family val="2"/>
          </rPr>
          <t xml:space="preserve">
</t>
        </r>
      </text>
    </comment>
  </commentList>
</comments>
</file>

<file path=xl/sharedStrings.xml><?xml version="1.0" encoding="utf-8"?>
<sst xmlns="http://schemas.openxmlformats.org/spreadsheetml/2006/main" count="294" uniqueCount="240">
  <si>
    <t>ΠΟΣΟΣΤ. ΔΙΑΦ. ΕΚΡ.- ΕΙΣΦ</t>
  </si>
  <si>
    <t xml:space="preserve">ΕΙΔΟΣ ΕΠΙΧΕΙΡΗΣΗΣ </t>
  </si>
  <si>
    <t>Υποκείμενη σε ΦΠΑ που τηρεί απλογραφικά βιβλία</t>
  </si>
  <si>
    <t>Υποκείμενη σε ΦΠΑ που τηρεί διπλογραφικά βιβλία</t>
  </si>
  <si>
    <t xml:space="preserve">ΕΠΩΝΥΜΙΑ ΕΠΙΧ/ΣΗΣ </t>
  </si>
  <si>
    <t>αα</t>
  </si>
  <si>
    <t>ββ</t>
  </si>
  <si>
    <t>γγ</t>
  </si>
  <si>
    <t>δδ</t>
  </si>
  <si>
    <t>ΝΑΙ</t>
  </si>
  <si>
    <t>ΟΧΙ</t>
  </si>
  <si>
    <t>ΜΕΙΩΣΗ</t>
  </si>
  <si>
    <t>ΠΟΣΟΣΤ. ΜΕΙΩΣ.</t>
  </si>
  <si>
    <t>ΕΛΑΧ. ΕΝΥΣΧ.</t>
  </si>
  <si>
    <t>ΤΕΛ. ΠΟΣΟ ΕΝΙΣΧ.</t>
  </si>
  <si>
    <t>Καραγιαννόπουλος Γιάννης</t>
  </si>
  <si>
    <t>Ιωάννινα</t>
  </si>
  <si>
    <t>karag_gi@yahoo.gr</t>
  </si>
  <si>
    <t>(Πρέπει να συμπληρωθούν όλα τα κελιά που εμφανίζονται με κίτρινο χρώμα)</t>
  </si>
  <si>
    <t>Ατομική επιχείρηση</t>
  </si>
  <si>
    <t>ΜΗ ΔΙΚΑΙΟΥΧΟΣ ΕΠΙΣΤΡΕΠΤΕΑΣ ΠΡΟΚΑΤΑΒΟΛΗΣ</t>
  </si>
  <si>
    <t xml:space="preserve">Μη υποκείμενη σε ΦΠΑ ή υποκείμενη και απαλλασσόμενη από ΦΠΑ </t>
  </si>
  <si>
    <t>α</t>
  </si>
  <si>
    <t>β</t>
  </si>
  <si>
    <t>ΚΥΚΛ. ΕΡΓΑ ΑΝ</t>
  </si>
  <si>
    <t>ΑΚ. ΕΣΟΔΑ ΑΝ</t>
  </si>
  <si>
    <t>ΤΕΛ. ΚΥΚΛ. ΕΡΓΑ ΑΝ</t>
  </si>
  <si>
    <t>ΤΕΛ. ΑΚ. ΕΣΟΔΑ ΑΝ</t>
  </si>
  <si>
    <t>ΣΥΝΟΛΙΚΑ</t>
  </si>
  <si>
    <t>ΚΥΚΛ. ΕΡΓ η ΑΚΑΘ. ΕΣ. ΑΝΑΦΟΡΑΣ</t>
  </si>
  <si>
    <t>ΚΥΚΛ ΕΡΓ Η ΑΚΑΘ ΕΣ. ΜΑΡΤ, ΑΠΡ. ΜΙΑ</t>
  </si>
  <si>
    <t>ΚΥΚΛ.ΕΡΓΑΣ. ΑΝΑΦ</t>
  </si>
  <si>
    <t>ΑΚ. ΕΣΟΔΑ. ΑΝΑΦ</t>
  </si>
  <si>
    <t>47.99</t>
  </si>
  <si>
    <t>56.10</t>
  </si>
  <si>
    <t>56.21</t>
  </si>
  <si>
    <t>Δραστηριότητες υπηρεσιών τροφοδοσίας για εκδηλώσεις</t>
  </si>
  <si>
    <t>56.29</t>
  </si>
  <si>
    <t>56.30</t>
  </si>
  <si>
    <t>59.14</t>
  </si>
  <si>
    <t>Δραστηριότητες προβολής κινηματογραφικών ταινιών</t>
  </si>
  <si>
    <t>77.21</t>
  </si>
  <si>
    <t>Ενοικίαση και εκμίσθωση ειδών αναψυχής και αθλητικών ειδών</t>
  </si>
  <si>
    <t>77.29</t>
  </si>
  <si>
    <t>77.39.13</t>
  </si>
  <si>
    <t>77.39.19.03</t>
  </si>
  <si>
    <t>Υπηρεσίες ενοικίασης εξοπλισμού εκθέσεων</t>
  </si>
  <si>
    <t>82.30</t>
  </si>
  <si>
    <t>Οργάνωση συνεδρίων και εμπορικών εκθέσεων</t>
  </si>
  <si>
    <t>85.51</t>
  </si>
  <si>
    <t>Αθλητική και ψυχαγωγική εκπαίδευση</t>
  </si>
  <si>
    <t>85.52</t>
  </si>
  <si>
    <t>Πολιτιστική εκπαίδευση</t>
  </si>
  <si>
    <t>90.01</t>
  </si>
  <si>
    <t>Τέχνες του θεάματος</t>
  </si>
  <si>
    <t>90.02</t>
  </si>
  <si>
    <t>Υποστηρικτικές δραστηριότητες για τις τέχνες του θεάματος</t>
  </si>
  <si>
    <t>90.04</t>
  </si>
  <si>
    <t>91.02</t>
  </si>
  <si>
    <t>Δραστηριότητες μουσείων</t>
  </si>
  <si>
    <t>91.03</t>
  </si>
  <si>
    <t>93.11</t>
  </si>
  <si>
    <t>Εκμετάλλευση αθλητικών εγκαταστάσεων</t>
  </si>
  <si>
    <t>93.12</t>
  </si>
  <si>
    <t>Δραστηριότητες αθλητικών ομίλων</t>
  </si>
  <si>
    <t>93.13</t>
  </si>
  <si>
    <t>Εγκαταστάσεις γυμναστικής</t>
  </si>
  <si>
    <t>93.19</t>
  </si>
  <si>
    <t>93.21</t>
  </si>
  <si>
    <t>93.29</t>
  </si>
  <si>
    <t>Άλλες δραστηριότητες διασκέδασης και ψυχαγωγίας</t>
  </si>
  <si>
    <t>96.04</t>
  </si>
  <si>
    <t>96.09.19.16</t>
  </si>
  <si>
    <t>Λοιπές ιδιωτικές επιχειρήσεις κάθε μορφής ή μη κερδοσκοπικές υποκείμενες σε ΦΠΑ  ή ΔΕΥΑ ή οργανισμοί λιμένων</t>
  </si>
  <si>
    <t>56.29.20.01</t>
  </si>
  <si>
    <t>ΕΞΑΙΡΕΣΕΙΣ</t>
  </si>
  <si>
    <t>88.10.11</t>
  </si>
  <si>
    <t>γ</t>
  </si>
  <si>
    <t>ΚΥΚΛ ΕΡΓ. ΜΑΡΤ, ΑΥΓ 2020</t>
  </si>
  <si>
    <t>ΑΠΟΖ.ΕΡΓΑΖ. ΣΕ ΑΝΑΣΤ.</t>
  </si>
  <si>
    <t>ΠΟΣΟ ΠΡΟΚ. 1 &amp; 2</t>
  </si>
  <si>
    <t>(Ποσά ή στοιχεία που εμφανίζονται με κόκκινους χαρακτήρες πρέπει να διαγράφονται)</t>
  </si>
  <si>
    <t>ΕΠΙΣΤΡΕΠΤΕΑ ΠΡΟΚΑΤΑΒΟΛΗ IV (4)</t>
  </si>
  <si>
    <t>ΕΝΙΣΧΥΣΗ ΜΕ ΤΗ ΜΟΡΦΗ ΕΠΙΣΤΡΕΠΤΕΑΣ ΠΡΟΚΑΤΑΒΟΛΗΣ ΓΙΑ ΕΠΙΧΕΙΡΗΣΕΙΣ ΠΟΥ ΕΠΛΗΓΗΣΑΝ ΛΟΓΩ ΤΗΣ ΝΟΣΟΥ COVID-19 ΚΑΤΑ ΤΟΥΣ ΜΗΝΕΣ ΣΕΠΤΕΜΒΡΙΟ ΚΑΙ ΟΚΤΩΒΡΙΟ 2020  (ΑΠΟΦ. ΓΔΟΥ 281 ΦΕΚ 5047 Β΄ /14.11.2020)</t>
  </si>
  <si>
    <t>Η Επιχείρηση δεν πληροί τις προϋποθέσεις της παραγράφου 1 του άρθρου 3 της ΓΔΟΥ 281/14.11.2020 (Περισσότεροι από χίλιοι 1.000 εργαζόμενοι) και ΔΕΝ ΔΙΚΑΙΟΥΤΑΙ επιστρεπτέα προκαταβολή</t>
  </si>
  <si>
    <t>Πρόκειται για επιχείρηση με έδρα σε περιοχές που έχουν πληγεί από φυσικές καταστροφές που προκλήθηκαν από τον μεσογειακό κυκλώνα "ΙΑΝΟΣ" (ΦΕΚ 4431 &amp; 4432 Β΄ 2020)</t>
  </si>
  <si>
    <t>Πρόκειται για κατάστημα λιαν. εμπορίου εντός κατ/τος (shops-in a-shop), που βρίσκεται σε εκπτωτικά κατ/τα (outlet), εμπορ. κέντρα ή εκπτωτικά χωριά, εκτός των σούπερ μάρκετ και των φαρμακείων με ανεξάρτητη είσοδο ή  αποκλειστικά υπηρεσίες ηλεκτρ. ή τηλεφ. εμπορίου με παράδοση κατ' οίκον (e-shop κ.τ.λ.) .</t>
  </si>
  <si>
    <t>47.19</t>
  </si>
  <si>
    <t>Αλλο λιανικό εμπόριο σε μη εξειδικευμένα καταστήματα, εκτός από Εκμετάλλευση καταστήματος ψιλικών ειδών γενικά (47.19.10.01) και Εκμετάλλευση περίπτερου (47.19.10.02)</t>
  </si>
  <si>
    <t>47.41</t>
  </si>
  <si>
    <t>Λιανικό εμπόριο ηλεκτρονικών υπολογιστών, περιφερειακών μονάδων υπολογιστών και λογισμικού σε εξειδικευμένα καταστήματα</t>
  </si>
  <si>
    <t>47.42</t>
  </si>
  <si>
    <t>Λιανικό εμπόριο τηλεπικοινωνιακού εξοπλισμού σε εξειδικευμένα καταστήματα</t>
  </si>
  <si>
    <t>47.43</t>
  </si>
  <si>
    <t>Λιανικό εμπόριο εξοπλισμού ήχου και εικόνας σε εξειδικευμένα καταστήματα</t>
  </si>
  <si>
    <t>47.51</t>
  </si>
  <si>
    <t>Λιανικό εμπόριο κλωστοϋφαντουργικών προϊόντων σε εξειδικευμένα καταστήματα</t>
  </si>
  <si>
    <t>47.52</t>
  </si>
  <si>
    <t>Λιανικό εμπόριο σιδηρικών, χρωμάτων και τζαμιών σε εξειδικευμένα καταστήματα</t>
  </si>
  <si>
    <t>47.53</t>
  </si>
  <si>
    <t>Λιανικό εμπόριο χαλιών, κιλιμιών και επενδύσεων δαπέδου και τοίχου σε εξειδικευμένα καταστήματα</t>
  </si>
  <si>
    <t>47.54</t>
  </si>
  <si>
    <t>Λιανικό εμπόριο ηλεκτρικών οικιακών συσκευών σε εξειδικευμένα καταστήματα</t>
  </si>
  <si>
    <t>47.59</t>
  </si>
  <si>
    <t>Λιανικό εμπόριο επίπλων, φωτιστικών και άλλων ειδών οικιακής χρήσης σε εξειδικευμένα καταστήματα</t>
  </si>
  <si>
    <t>47.61</t>
  </si>
  <si>
    <t>Λιανικό εμπόριο βιβλίων σε εξειδικευμένα καταστήματα</t>
  </si>
  <si>
    <t>47.62.63</t>
  </si>
  <si>
    <t>Λιανικό εμπόριο χαρτικών ειδών,</t>
  </si>
  <si>
    <t>47.63</t>
  </si>
  <si>
    <t>Λιανικό εμπόριο εγγραφών μουσικής και εικόνας σε εξειδικευμένα καταστήματα</t>
  </si>
  <si>
    <t>47.64</t>
  </si>
  <si>
    <t>Λιανικό εμπόριο αθλητικού εξοπλισμού σε εξειδικευμένα καταστήματα</t>
  </si>
  <si>
    <t>47.65</t>
  </si>
  <si>
    <t>Λιανικό εμπόριο παιχνιδιών κάθε είδους σε εξειδικευμένα καταστήματα</t>
  </si>
  <si>
    <t>47.71</t>
  </si>
  <si>
    <t>Λιανικό εμπόριο ενδυμάτων σε εξειδικευμένα καταστήματα</t>
  </si>
  <si>
    <t>47.72</t>
  </si>
  <si>
    <t>Λιανικό εμπόριο υποδημάτων και δερμάτινων ειδών σε εξειδικευμένα καταστήματα</t>
  </si>
  <si>
    <t>47.75</t>
  </si>
  <si>
    <t>Λιανικό εμπόριο καλλυντικών και ειδών καλλωπισμού σε εξειδικευμένα καταστήματα, εκτός από Λιανικό εμπόριο χαρτιού υγείας, χαρτομάντιλων, μαντιλιών και πετσετών καθαρισμού προσώπου, τραπεζομάντιλων και πετσετών φαγητού, από χαρτί (47.75.76.19)</t>
  </si>
  <si>
    <t>47.76</t>
  </si>
  <si>
    <t>47.77</t>
  </si>
  <si>
    <t>Λιανικό εμπόριο ρολογιών και κοσμημάτων σε εξειδικευμένα καταστήματα</t>
  </si>
  <si>
    <t>47.78</t>
  </si>
  <si>
    <t>Άλλο λιανικό εμπόριο καινούργιων ειδών σε εξειδικευμένα καταστήματα, εκτός από Λιανικό εμπόριο υλικών καθαρισμού (47.78.84), Λιανικό εμπόριο καύσιμου πετρελαίου οικιακής χρήσης, υγραέριου, άνθρακα και ξυλείας (47.78.85), Λιανικό εμπόριο περουκών και ποστίς (47.78.86.24), Λιανικό εμπόριο ακατέργαστων αγροτικών προϊόντων π.δ.κ.α. (47.78.87) και Λιανικό εμπόριο μηχανημάτων και εξοπλισμού π.δ.κ.α. (47.78.88)</t>
  </si>
  <si>
    <t>47.79</t>
  </si>
  <si>
    <t>Λιανικό εμπόριο μεταχειρισμένων ειδών σε καταστήματα</t>
  </si>
  <si>
    <t>47.82</t>
  </si>
  <si>
    <t>Λιανικό εμπόριο κλωστοϋφαντουργικών προϊόντων, ενδυμάτων και υποδημάτων, σε υπαίθριους πάγκους και αγορές</t>
  </si>
  <si>
    <t>47.89</t>
  </si>
  <si>
    <t>Λιανικό εμπόριο άλλων ειδών σε υπαίθριους πάγκους και αγορές</t>
  </si>
  <si>
    <t>Άλλο λιανικό εμπόριο εκτός καταστημάτων, υπαίθριων πάγκων ή αγορών, με εξαίρεση το Άλλο λιανικό εμπόριο πετρελαίου οικιακής χρήσης, υγραέριου, άνθρακα και ξυλείας εκτός καταστημάτων, υπαίθριων πάγκων ή αγορών (47.99.85), καθώς και του λιανικού εμπορίου άλλων τυποποιημένων τροφίμων π.δ.κ.α. μέσω αυτόματων πωλητών (47.99.24.01), του λιανικού εμπορίου τυποποιημένων προϊόντων αρτοποιίας μέσω αυτόματων πωλητών (47.99.16.01), του λιανικού εμπορίου ροφημάτων μέσω αυτόματων πωλητών (47.99.21.01) και του λιανικού εμπορίου τυποποιημένων ειδών ζαχαροπλαστικής μέσω αυτόματων πωλητών (47.99.17.01)</t>
  </si>
  <si>
    <t>Δραστηριότητες υπηρεσιών εστιατορίων και κινητών μονάδων εστίασης</t>
  </si>
  <si>
    <t>Άλλες υπηρεσίες εστίασης, με εξαίρεση τις Υπηρεσίες γευμάτων που παρέχονται από στρατιωτικές τραπεζαρίες (56.29.20.01)</t>
  </si>
  <si>
    <t>Δραστηριότητες παροχής ποτών</t>
  </si>
  <si>
    <t>71.20.14</t>
  </si>
  <si>
    <t>Υπηρεσίες τεχνικού ελέγχου οχημάτων οδικών μεταφορών</t>
  </si>
  <si>
    <t>77.22</t>
  </si>
  <si>
    <t>Ενοικίαση βιντεοκασετών και δίσκων</t>
  </si>
  <si>
    <t>Ενοικίαση και εκμίσθωση άλλων ειδών προσωπικής ή οικιακής χρήσης</t>
  </si>
  <si>
    <t>Υπηρεσίες ενοικίασης και χρηματοδοτικής μίσθωσης μοτοσικλετών και τροχόσπιτων</t>
  </si>
  <si>
    <t>79.90.32</t>
  </si>
  <si>
    <t>Υπηρεσίες κρατήσεων για συνεδριακά κέντρα και εκθεσιακούς χώρους</t>
  </si>
  <si>
    <t>79.90.39</t>
  </si>
  <si>
    <t>Υπηρεσίες κρατήσεων για εισιτήρια εκδηλώσεων, υπηρεσίες ψυχαγωγίας και αναψυχής και Άλλες υπηρεσίες κρατήσεων π.δ.κ.α.</t>
  </si>
  <si>
    <t>85.10</t>
  </si>
  <si>
    <t>Προσχολική εκπαίδευση</t>
  </si>
  <si>
    <t>85.53</t>
  </si>
  <si>
    <t>Δραστηριότητες σχολών ερασιτεχνών οδηγών</t>
  </si>
  <si>
    <t>85.59</t>
  </si>
  <si>
    <t>Άλλη εκπαίδευση π.δ.κ.α.</t>
  </si>
  <si>
    <t>86.90.19.10</t>
  </si>
  <si>
    <t>Υπηρεσίες οδηγιών διατροφής από ειδικούς που δεν είναι γιατροί</t>
  </si>
  <si>
    <t>Υπηρεσίες επίσκεψης και παροχής υποστήριξης σε ηλικιωμένους</t>
  </si>
  <si>
    <t>88.10.12</t>
  </si>
  <si>
    <t>Υπηρεσίες κέντρων ημερήσιας φροντίδας ηλικιωμένων</t>
  </si>
  <si>
    <t>88.91</t>
  </si>
  <si>
    <t>Δραστηριότητες βρεφονηπιακών και παιδικών σταθμών με εξαίρεση τα Κέντρα Δημιουργικής Απασχόλησης παιδιών και ατόμων με αναπηρία (ΚΔΑΠΜΕΑ) (88.91.12) και τις υπηρεσίες κατ οίκον φύλαξης μικρών παιδιών (ΚΑΔ 88.91.13)</t>
  </si>
  <si>
    <t>90.03.11.04</t>
  </si>
  <si>
    <t>Υπηρεσίες ενορχηστρωτή</t>
  </si>
  <si>
    <t>90.03.11.07</t>
  </si>
  <si>
    <t>Υπηρεσίες μουσουργού</t>
  </si>
  <si>
    <t>90.03.11.17</t>
  </si>
  <si>
    <t>Υπηρεσίες χορογράφου</t>
  </si>
  <si>
    <t>90.03.11.18</t>
  </si>
  <si>
    <t>Υπηρεσίες χορωδού</t>
  </si>
  <si>
    <t>Εκμετάλλευση αιθουσών θεαμάτων και συναφείς δραστηριότητες</t>
  </si>
  <si>
    <t>91.01</t>
  </si>
  <si>
    <t>Δραστηριότητες βιβλιοθηκών και αρχειοφυλακείων</t>
  </si>
  <si>
    <t>Λειτουργία ιστορικών χώρων και κτιρίων και παρόμοιων πόλων έλξης επισκεπτών</t>
  </si>
  <si>
    <t>91.04</t>
  </si>
  <si>
    <t>Δραστηριότητες βοτανικών και ζωολογικών κήπων και φυσικών βιοτόπων</t>
  </si>
  <si>
    <t>92.00</t>
  </si>
  <si>
    <t>Τυχερά παιχνίδια και στοιχήματα εκτός από Υπηρεσίες τυχερών παιχνιδιών σε απ ευθείας (on-line) σύνδεση (92.00.14), Υπηρεσίες στοιχημάτων σε απ ευθείας (on-line) σύνδεση (92.00.21)</t>
  </si>
  <si>
    <t>Άλλες αθλητικές δραστηριότητες , με εξαίρεση υπηρεσίες που σχετίζονται με την εκπαίδευση κατοικίδιων ζώων συντροφιάς, για κυνήγι και σχετικές δραστηριότητες (93.19.13.03)</t>
  </si>
  <si>
    <t>Δραστηριότητες πάρκων αναψυχής και άλλων θεματικών πάρκων</t>
  </si>
  <si>
    <t>94.99.16</t>
  </si>
  <si>
    <t>Υπηρεσίες που παρέχονται από πολιτιστικές και ψυχαγωγικές ενώσεις</t>
  </si>
  <si>
    <t>96.02</t>
  </si>
  <si>
    <t>Δραστηριότητες κομμωτηρίων, κουρείων και κέντρων αισθητικής</t>
  </si>
  <si>
    <t>Δραστηριότητες σχετικές με τη φυσική ευεξία</t>
  </si>
  <si>
    <t>96.09.19.06</t>
  </si>
  <si>
    <t>Υπηρεσίες γραφείων γνωριμίας ή συνοικεσίων</t>
  </si>
  <si>
    <t>96.09.19.08</t>
  </si>
  <si>
    <t>Υπηρεσίες γυαλίσματος υποδημάτων</t>
  </si>
  <si>
    <t>96.09.19.09</t>
  </si>
  <si>
    <t>Υπηρεσίες δερματοστιξίας (τατουάζ)</t>
  </si>
  <si>
    <t>96.09.19.12</t>
  </si>
  <si>
    <t>Υπηρεσίες ιερόδουλου</t>
  </si>
  <si>
    <t>Υπηρεσίες στολισμού εκκλησιών, αιθουσών κλπ (για γάμους, βαπτίσεις, κηδείες και Άλλες εκδηλώσεις)</t>
  </si>
  <si>
    <t>96.09.19.17</t>
  </si>
  <si>
    <t>Υπηρεσίες τρυπήματος δέρματος του σώματος (piercing)</t>
  </si>
  <si>
    <t>Καταστήματα λιανικού εμπορίου που λειτουργούν με συμφωνίες συνεργασίας όλων των καταστημάτων λιανικού εμπορίου τύπου «κατάστημα εντός καταστήματος» (shops-in a-shop), που βρίσκονται σε εκπτωτικά καταστήματα (outlet), εμπορικά κέντρα ή εκπτωτικά χωριά, εξαιρουμένων των σούπερ μάρκετ και των φαρμακείων υπό την προϋπόθεση ότι διαθέτουν ανεξάρτητη είσοδο για τους καταναλωτές</t>
  </si>
  <si>
    <t>Λιανικό εμπόριο λουλουδιών, φυτών, σπόρων, λιπασμάτων, ζώων συντροφιάς και σχετικών ζωοτροφών σε εξειδικευμένα καταστήματα, εκτός από (47.76.77.02), (47.76.77.04), (47.76.77.05), (47.76.77.06), (47.76.77.07), (47.76.77.08), (47.76.77.09), (47.76.77.13), (47.76.77.14), (47.76.77.15), (47.76.77.16), (47.76.77.17), (47.76.77.18), (47.76.77.19), (47.76.77.20), (47.76.78), (47.76.79).</t>
  </si>
  <si>
    <t>47.19.10.01</t>
  </si>
  <si>
    <t>47.19.10.02</t>
  </si>
  <si>
    <t>47.75.76.19</t>
  </si>
  <si>
    <t>47.76.77.02</t>
  </si>
  <si>
    <t>47.76.77.04</t>
  </si>
  <si>
    <t>47.76.77.05</t>
  </si>
  <si>
    <t>47.76.77.06</t>
  </si>
  <si>
    <t>47.76.77.07</t>
  </si>
  <si>
    <t>47.76.77.08</t>
  </si>
  <si>
    <t>47.76.77.09</t>
  </si>
  <si>
    <t>47.76.77.13</t>
  </si>
  <si>
    <t>47.76.77.14</t>
  </si>
  <si>
    <t>47.76.77.15</t>
  </si>
  <si>
    <t>47.76.77.16</t>
  </si>
  <si>
    <t>47.76.77.17</t>
  </si>
  <si>
    <t>47.76.77.18</t>
  </si>
  <si>
    <t>47.76.77.19</t>
  </si>
  <si>
    <t>47.76.77.20</t>
  </si>
  <si>
    <t>47.76.78</t>
  </si>
  <si>
    <t>47.76.79</t>
  </si>
  <si>
    <t>47.78.84</t>
  </si>
  <si>
    <t>47.78.85</t>
  </si>
  <si>
    <t>47.78.87</t>
  </si>
  <si>
    <t>47.78.88</t>
  </si>
  <si>
    <t>92.00.14</t>
  </si>
  <si>
    <t>92.00.21</t>
  </si>
  <si>
    <t>93.19.13.03</t>
  </si>
  <si>
    <t>47.78.86.24</t>
  </si>
  <si>
    <t>47.99.85</t>
  </si>
  <si>
    <t>47.99.24.01</t>
  </si>
  <si>
    <t>47.99.16.01</t>
  </si>
  <si>
    <t>47.99.21.01</t>
  </si>
  <si>
    <t>47.99.17.01</t>
  </si>
  <si>
    <t>88.91.12</t>
  </si>
  <si>
    <t>88.91.13</t>
  </si>
  <si>
    <t>Η επιχείρηση είναι δικαιούχος επιστρεπτέας προκαταβολής ανεξαρτήτως μείωσης  κύκλου εργασιών, εφόσον ο κύκλος εργασιών αναφοράς ή τα ακαθάριστα έσοδα αναφοράς είναι μεγαλύτερα από 300 €.</t>
  </si>
  <si>
    <t>ΠΙΝΑΚΑ 3</t>
  </si>
  <si>
    <t>ΑΤΟΜ. ΧΩΡΙΣ ΕΡΓ. - Τ.Μ.</t>
  </si>
  <si>
    <t>ΣΥΝ. ΕΡΓΑΖ. ΣΕ ΑΝΑΣΤ.</t>
  </si>
  <si>
    <t>ΚΥΚΛ ΕΡΓ. ΣΕΠΤ, ΟΚΤ 2020</t>
  </si>
  <si>
    <t>ΑΚΑΘ ΕΣ.ΣΕΠΤ, ΟΚΤ. 2020</t>
  </si>
  <si>
    <t>Κ.Ε.Α - Κ.Ε. ΣΕΠΤ - ΟΚΤ.</t>
  </si>
  <si>
    <t>ΕΝΙΣΧΥΣΗ ΜΕ ΤΥΠΟ</t>
  </si>
  <si>
    <t>ΕΝΥΣΧ. ΑΤΟΜ. ΧΤΜ</t>
  </si>
  <si>
    <t>ΣΥΝ. ΕΝΥΣΧΥΣΗΣ</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</si>
</sst>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86">
    <font>
      <sz val="11"/>
      <color theme="1"/>
      <name val="Calibri"/>
      <family val="2"/>
    </font>
    <font>
      <sz val="11"/>
      <color indexed="8"/>
      <name val="Calibri"/>
      <family val="2"/>
    </font>
    <font>
      <b/>
      <sz val="12"/>
      <name val="Arial"/>
      <family val="2"/>
    </font>
    <font>
      <sz val="12"/>
      <name val="Arial"/>
      <family val="2"/>
    </font>
    <font>
      <b/>
      <u val="single"/>
      <sz val="12"/>
      <name val="Arial"/>
      <family val="2"/>
    </font>
    <font>
      <sz val="12"/>
      <color indexed="8"/>
      <name val="Arial"/>
      <family val="2"/>
    </font>
    <font>
      <b/>
      <sz val="12"/>
      <color indexed="8"/>
      <name val="Arial"/>
      <family val="2"/>
    </font>
    <font>
      <sz val="10"/>
      <color indexed="8"/>
      <name val="Arial"/>
      <family val="2"/>
    </font>
    <font>
      <sz val="9"/>
      <color indexed="8"/>
      <name val="Arial"/>
      <family val="2"/>
    </font>
    <font>
      <b/>
      <sz val="12"/>
      <color indexed="10"/>
      <name val="Arial"/>
      <family val="2"/>
    </font>
    <font>
      <b/>
      <sz val="9"/>
      <color indexed="8"/>
      <name val="Arial"/>
      <family val="2"/>
    </font>
    <font>
      <b/>
      <sz val="14"/>
      <color indexed="8"/>
      <name val="Arial"/>
      <family val="2"/>
    </font>
    <font>
      <b/>
      <sz val="16"/>
      <color indexed="8"/>
      <name val="Arial"/>
      <family val="2"/>
    </font>
    <font>
      <b/>
      <sz val="12"/>
      <color indexed="30"/>
      <name val="Arial"/>
      <family val="2"/>
    </font>
    <font>
      <i/>
      <sz val="9"/>
      <color indexed="30"/>
      <name val="Times New Roman"/>
      <family val="1"/>
    </font>
    <font>
      <sz val="8"/>
      <color indexed="30"/>
      <name val="Arial"/>
      <family val="2"/>
    </font>
    <font>
      <b/>
      <sz val="11"/>
      <color indexed="10"/>
      <name val="Arial"/>
      <family val="2"/>
    </font>
    <font>
      <b/>
      <sz val="10"/>
      <color indexed="8"/>
      <name val="Arial"/>
      <family val="2"/>
    </font>
    <font>
      <b/>
      <u val="single"/>
      <sz val="12"/>
      <color indexed="10"/>
      <name val="Arial"/>
      <family val="2"/>
    </font>
    <font>
      <b/>
      <sz val="14"/>
      <color indexed="10"/>
      <name val="Arial"/>
      <family val="2"/>
    </font>
    <font>
      <b/>
      <sz val="16"/>
      <color indexed="10"/>
      <name val="Arial"/>
      <family val="2"/>
    </font>
    <font>
      <sz val="9"/>
      <name val="Arial"/>
      <family val="2"/>
    </font>
    <font>
      <b/>
      <sz val="14"/>
      <name val="Arial"/>
      <family val="2"/>
    </font>
    <font>
      <sz val="12"/>
      <color indexed="10"/>
      <name val="Arial"/>
      <family val="2"/>
    </font>
    <font>
      <b/>
      <sz val="16"/>
      <color indexed="9"/>
      <name val="Arial"/>
      <family val="2"/>
    </font>
    <font>
      <b/>
      <sz val="18"/>
      <color indexed="10"/>
      <name val="Arial"/>
      <family val="2"/>
    </font>
    <font>
      <sz val="14"/>
      <color indexed="8"/>
      <name val="Arial"/>
      <family val="2"/>
    </font>
    <font>
      <b/>
      <sz val="13"/>
      <color indexed="8"/>
      <name val="Arial"/>
      <family val="2"/>
    </font>
    <font>
      <b/>
      <u val="single"/>
      <sz val="14"/>
      <color indexed="8"/>
      <name val="Arial"/>
      <family val="2"/>
    </font>
    <font>
      <b/>
      <sz val="16"/>
      <color indexed="12"/>
      <name val="Calibri"/>
      <family val="2"/>
    </font>
    <font>
      <b/>
      <sz val="12"/>
      <color indexed="60"/>
      <name val="Arial"/>
      <family val="2"/>
    </font>
    <font>
      <b/>
      <u val="single"/>
      <sz val="11"/>
      <color indexed="10"/>
      <name val="Arial"/>
      <family val="2"/>
    </font>
    <font>
      <b/>
      <sz val="12"/>
      <color indexed="12"/>
      <name val="Arial"/>
      <family val="2"/>
    </font>
    <font>
      <sz val="11"/>
      <color indexed="8"/>
      <name val="Arial"/>
      <family val="2"/>
    </font>
    <font>
      <b/>
      <sz val="11"/>
      <color indexed="8"/>
      <name val="Arial"/>
      <family val="2"/>
    </font>
    <font>
      <b/>
      <u val="single"/>
      <sz val="10"/>
      <name val="Tahoma"/>
      <family val="2"/>
    </font>
    <font>
      <b/>
      <sz val="11"/>
      <color indexed="8"/>
      <name val="Calibri"/>
      <family val="2"/>
    </font>
    <font>
      <b/>
      <sz val="12"/>
      <color indexed="8"/>
      <name val="Calibri"/>
      <family val="2"/>
    </font>
    <font>
      <b/>
      <sz val="14"/>
      <color indexed="8"/>
      <name val="Calibri"/>
      <family val="2"/>
    </font>
    <font>
      <b/>
      <sz val="11"/>
      <color indexed="10"/>
      <name val="Calibri"/>
      <family val="2"/>
    </font>
    <font>
      <b/>
      <sz val="9"/>
      <color indexed="56"/>
      <name val="Arial"/>
      <family val="2"/>
    </font>
    <font>
      <b/>
      <sz val="10"/>
      <name val="Tahoma"/>
      <family val="2"/>
    </font>
    <font>
      <b/>
      <sz val="10"/>
      <name val="Arial"/>
      <family val="2"/>
    </font>
    <font>
      <b/>
      <u val="single"/>
      <sz val="12"/>
      <name val="Tahoma"/>
      <family val="2"/>
    </font>
    <font>
      <b/>
      <sz val="13"/>
      <color indexed="60"/>
      <name val="Arial"/>
      <family val="2"/>
    </font>
    <font>
      <b/>
      <sz val="10"/>
      <color indexed="10"/>
      <name val="Tahoma"/>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u val="single"/>
      <sz val="9.9"/>
      <color indexed="12"/>
      <name val="Calibri"/>
      <family val="2"/>
    </font>
    <font>
      <u val="single"/>
      <sz val="9.9"/>
      <color indexed="20"/>
      <name val="Calibri"/>
      <family val="2"/>
    </font>
    <font>
      <b/>
      <sz val="11"/>
      <color indexed="52"/>
      <name val="Calibri"/>
      <family val="2"/>
    </font>
    <font>
      <b/>
      <sz val="11"/>
      <color indexed="56"/>
      <name val="Arial"/>
      <family val="2"/>
    </font>
    <font>
      <sz val="8"/>
      <name val="Tahoma"/>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9.9"/>
      <color theme="10"/>
      <name val="Calibri"/>
      <family val="2"/>
    </font>
    <font>
      <u val="single"/>
      <sz val="9.9"/>
      <color theme="11"/>
      <name val="Calibri"/>
      <family val="2"/>
    </font>
    <font>
      <b/>
      <sz val="11"/>
      <color rgb="FFFA7D00"/>
      <name val="Calibri"/>
      <family val="2"/>
    </font>
    <font>
      <b/>
      <sz val="14"/>
      <color rgb="FFFF0000"/>
      <name val="Arial"/>
      <family val="2"/>
    </font>
    <font>
      <b/>
      <sz val="11"/>
      <color rgb="FF002060"/>
      <name val="Arial"/>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solid">
        <fgColor indexed="52"/>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rgb="FF00B0F0"/>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21" borderId="2" applyNumberFormat="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3" applyNumberFormat="0" applyAlignment="0" applyProtection="0"/>
    <xf numFmtId="0" fontId="69" fillId="0" borderId="0" applyNumberForma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5" fillId="31" borderId="0" applyNumberFormat="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1" fillId="32" borderId="7" applyNumberFormat="0" applyFont="0" applyAlignment="0" applyProtection="0"/>
    <xf numFmtId="0" fontId="77" fillId="0" borderId="8" applyNumberFormat="0" applyFill="0" applyAlignment="0" applyProtection="0"/>
    <xf numFmtId="0" fontId="78" fillId="0" borderId="9"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8" borderId="1" applyNumberFormat="0" applyAlignment="0" applyProtection="0"/>
  </cellStyleXfs>
  <cellXfs count="224">
    <xf numFmtId="0" fontId="0" fillId="0" borderId="0" xfId="0" applyFont="1" applyAlignment="1">
      <alignment/>
    </xf>
    <xf numFmtId="4" fontId="5" fillId="33" borderId="0" xfId="0" applyNumberFormat="1" applyFont="1" applyFill="1" applyAlignment="1" applyProtection="1">
      <alignment horizontal="center" vertical="center"/>
      <protection/>
    </xf>
    <xf numFmtId="1" fontId="5" fillId="0" borderId="0" xfId="0" applyNumberFormat="1" applyFont="1" applyAlignment="1" applyProtection="1">
      <alignment horizontal="center" vertical="center"/>
      <protection/>
    </xf>
    <xf numFmtId="4" fontId="5" fillId="0" borderId="0" xfId="0" applyNumberFormat="1" applyFont="1" applyAlignment="1" applyProtection="1">
      <alignment horizontal="center" vertical="center"/>
      <protection/>
    </xf>
    <xf numFmtId="3" fontId="9" fillId="0" borderId="0" xfId="0" applyNumberFormat="1" applyFont="1" applyAlignment="1" applyProtection="1">
      <alignment horizontal="center" vertical="center"/>
      <protection/>
    </xf>
    <xf numFmtId="4" fontId="8" fillId="0" borderId="0" xfId="0" applyNumberFormat="1" applyFont="1" applyAlignment="1" applyProtection="1">
      <alignment horizontal="left" vertical="center"/>
      <protection/>
    </xf>
    <xf numFmtId="4" fontId="8" fillId="0" borderId="0" xfId="0" applyNumberFormat="1" applyFont="1" applyAlignment="1" applyProtection="1">
      <alignment horizontal="center" vertical="center"/>
      <protection/>
    </xf>
    <xf numFmtId="4" fontId="8" fillId="0" borderId="0" xfId="0" applyNumberFormat="1" applyFont="1" applyAlignment="1" applyProtection="1">
      <alignment vertical="center"/>
      <protection/>
    </xf>
    <xf numFmtId="4" fontId="5" fillId="0" borderId="0" xfId="0" applyNumberFormat="1" applyFont="1" applyAlignment="1" applyProtection="1">
      <alignment vertical="center"/>
      <protection/>
    </xf>
    <xf numFmtId="4" fontId="5" fillId="33" borderId="0" xfId="0" applyNumberFormat="1" applyFont="1" applyFill="1" applyAlignment="1" applyProtection="1">
      <alignment vertical="center"/>
      <protection/>
    </xf>
    <xf numFmtId="1" fontId="5" fillId="34" borderId="0" xfId="0" applyNumberFormat="1" applyFont="1" applyFill="1" applyAlignment="1" applyProtection="1">
      <alignment horizontal="center" vertical="center"/>
      <protection/>
    </xf>
    <xf numFmtId="4" fontId="5" fillId="34" borderId="0" xfId="0" applyNumberFormat="1" applyFont="1" applyFill="1" applyAlignment="1" applyProtection="1">
      <alignment horizontal="center" vertical="center"/>
      <protection/>
    </xf>
    <xf numFmtId="3" fontId="9" fillId="34" borderId="0" xfId="0" applyNumberFormat="1" applyFont="1" applyFill="1" applyAlignment="1" applyProtection="1">
      <alignment horizontal="center" vertical="center"/>
      <protection/>
    </xf>
    <xf numFmtId="4" fontId="8" fillId="34" borderId="0" xfId="0" applyNumberFormat="1" applyFont="1" applyFill="1" applyAlignment="1" applyProtection="1">
      <alignment horizontal="left" vertical="center"/>
      <protection/>
    </xf>
    <xf numFmtId="4" fontId="8" fillId="34" borderId="0" xfId="0" applyNumberFormat="1" applyFont="1" applyFill="1" applyAlignment="1" applyProtection="1">
      <alignment horizontal="center" vertical="center"/>
      <protection/>
    </xf>
    <xf numFmtId="4" fontId="8" fillId="34" borderId="0" xfId="0" applyNumberFormat="1" applyFont="1" applyFill="1" applyAlignment="1" applyProtection="1">
      <alignment vertical="center"/>
      <protection/>
    </xf>
    <xf numFmtId="4" fontId="5" fillId="34" borderId="0" xfId="0" applyNumberFormat="1" applyFont="1" applyFill="1" applyAlignment="1" applyProtection="1">
      <alignment vertical="center"/>
      <protection/>
    </xf>
    <xf numFmtId="4" fontId="13" fillId="35" borderId="10" xfId="0" applyNumberFormat="1" applyFont="1" applyFill="1" applyBorder="1" applyAlignment="1" applyProtection="1">
      <alignment horizontal="center" vertical="center" wrapText="1"/>
      <protection/>
    </xf>
    <xf numFmtId="4" fontId="13" fillId="35" borderId="11" xfId="0" applyNumberFormat="1" applyFont="1" applyFill="1" applyBorder="1" applyAlignment="1" applyProtection="1">
      <alignment horizontal="center" vertical="center" wrapText="1"/>
      <protection/>
    </xf>
    <xf numFmtId="4" fontId="5" fillId="35" borderId="12" xfId="0" applyNumberFormat="1" applyFont="1" applyFill="1" applyBorder="1" applyAlignment="1" applyProtection="1">
      <alignment horizontal="center" vertical="center"/>
      <protection/>
    </xf>
    <xf numFmtId="4" fontId="5" fillId="35" borderId="13" xfId="0" applyNumberFormat="1" applyFont="1" applyFill="1" applyBorder="1" applyAlignment="1" applyProtection="1">
      <alignment horizontal="center" vertical="center"/>
      <protection/>
    </xf>
    <xf numFmtId="4" fontId="7" fillId="0" borderId="0" xfId="0" applyNumberFormat="1" applyFont="1" applyAlignment="1" applyProtection="1">
      <alignment horizontal="center" vertical="center"/>
      <protection/>
    </xf>
    <xf numFmtId="4" fontId="5" fillId="35" borderId="14" xfId="0" applyNumberFormat="1" applyFont="1" applyFill="1" applyBorder="1" applyAlignment="1" applyProtection="1">
      <alignment horizontal="center" vertical="center"/>
      <protection/>
    </xf>
    <xf numFmtId="4" fontId="5" fillId="35" borderId="15" xfId="0" applyNumberFormat="1" applyFont="1" applyFill="1" applyBorder="1" applyAlignment="1" applyProtection="1">
      <alignment horizontal="center" vertical="center"/>
      <protection/>
    </xf>
    <xf numFmtId="1" fontId="5" fillId="35" borderId="15" xfId="0" applyNumberFormat="1" applyFont="1" applyFill="1" applyBorder="1" applyAlignment="1" applyProtection="1">
      <alignment horizontal="center" vertical="center"/>
      <protection/>
    </xf>
    <xf numFmtId="4" fontId="5" fillId="35" borderId="16" xfId="0" applyNumberFormat="1" applyFont="1" applyFill="1" applyBorder="1" applyAlignment="1" applyProtection="1">
      <alignment horizontal="center" vertical="center"/>
      <protection/>
    </xf>
    <xf numFmtId="4" fontId="6" fillId="0" borderId="0" xfId="0" applyNumberFormat="1" applyFont="1" applyAlignment="1" applyProtection="1">
      <alignment horizontal="center" vertical="center"/>
      <protection/>
    </xf>
    <xf numFmtId="1" fontId="5" fillId="33" borderId="0" xfId="0" applyNumberFormat="1" applyFont="1" applyFill="1" applyAlignment="1" applyProtection="1">
      <alignment horizontal="center" vertical="center"/>
      <protection/>
    </xf>
    <xf numFmtId="3" fontId="5" fillId="0" borderId="0" xfId="0" applyNumberFormat="1" applyFont="1" applyAlignment="1" applyProtection="1">
      <alignment horizontal="center" vertical="center"/>
      <protection/>
    </xf>
    <xf numFmtId="3" fontId="6" fillId="0" borderId="0" xfId="0" applyNumberFormat="1" applyFont="1" applyAlignment="1" applyProtection="1">
      <alignment horizontal="center" vertical="center"/>
      <protection/>
    </xf>
    <xf numFmtId="3" fontId="19" fillId="0" borderId="0" xfId="0" applyNumberFormat="1" applyFont="1" applyAlignment="1" applyProtection="1">
      <alignment horizontal="center" vertical="center"/>
      <protection/>
    </xf>
    <xf numFmtId="1" fontId="6" fillId="0" borderId="0" xfId="0" applyNumberFormat="1" applyFont="1" applyAlignment="1" applyProtection="1">
      <alignment horizontal="center" vertical="center"/>
      <protection/>
    </xf>
    <xf numFmtId="1" fontId="5" fillId="36" borderId="0" xfId="0" applyNumberFormat="1" applyFont="1" applyFill="1" applyAlignment="1" applyProtection="1">
      <alignment horizontal="center" vertical="center"/>
      <protection/>
    </xf>
    <xf numFmtId="1" fontId="24" fillId="37" borderId="0" xfId="0" applyNumberFormat="1" applyFont="1" applyFill="1" applyAlignment="1" applyProtection="1">
      <alignment horizontal="center" vertical="center"/>
      <protection/>
    </xf>
    <xf numFmtId="4" fontId="5" fillId="0" borderId="0" xfId="0" applyNumberFormat="1" applyFont="1" applyAlignment="1" applyProtection="1">
      <alignment horizontal="left" vertical="center"/>
      <protection/>
    </xf>
    <xf numFmtId="1" fontId="6" fillId="36" borderId="0" xfId="0" applyNumberFormat="1" applyFont="1" applyFill="1" applyAlignment="1" applyProtection="1">
      <alignment horizontal="center" vertical="center"/>
      <protection/>
    </xf>
    <xf numFmtId="1" fontId="20" fillId="36" borderId="0" xfId="0" applyNumberFormat="1" applyFont="1" applyFill="1" applyAlignment="1" applyProtection="1">
      <alignment horizontal="center" vertical="center"/>
      <protection/>
    </xf>
    <xf numFmtId="1" fontId="20" fillId="35" borderId="0" xfId="0" applyNumberFormat="1" applyFont="1" applyFill="1" applyAlignment="1" applyProtection="1">
      <alignment horizontal="center" vertical="center"/>
      <protection/>
    </xf>
    <xf numFmtId="1" fontId="20" fillId="34" borderId="0" xfId="0" applyNumberFormat="1" applyFont="1" applyFill="1" applyAlignment="1" applyProtection="1">
      <alignment horizontal="center" vertical="center"/>
      <protection/>
    </xf>
    <xf numFmtId="1" fontId="20" fillId="0" borderId="0" xfId="0" applyNumberFormat="1" applyFont="1" applyFill="1" applyAlignment="1" applyProtection="1">
      <alignment horizontal="center" vertical="center"/>
      <protection/>
    </xf>
    <xf numFmtId="1" fontId="3" fillId="0" borderId="0" xfId="0" applyNumberFormat="1" applyFont="1" applyAlignment="1" applyProtection="1">
      <alignment horizontal="center" vertical="center"/>
      <protection/>
    </xf>
    <xf numFmtId="1" fontId="8" fillId="0" borderId="0" xfId="0" applyNumberFormat="1" applyFont="1" applyAlignment="1" applyProtection="1">
      <alignment horizontal="center" vertical="center"/>
      <protection/>
    </xf>
    <xf numFmtId="1" fontId="6" fillId="34" borderId="0" xfId="0" applyNumberFormat="1" applyFont="1" applyFill="1" applyAlignment="1" applyProtection="1">
      <alignment horizontal="center" vertical="center"/>
      <protection/>
    </xf>
    <xf numFmtId="1" fontId="11" fillId="38" borderId="0" xfId="0" applyNumberFormat="1" applyFont="1" applyFill="1" applyAlignment="1" applyProtection="1">
      <alignment horizontal="center" vertical="center"/>
      <protection/>
    </xf>
    <xf numFmtId="1" fontId="11" fillId="0" borderId="0" xfId="0" applyNumberFormat="1" applyFont="1" applyFill="1" applyAlignment="1" applyProtection="1">
      <alignment horizontal="center" vertical="center"/>
      <protection/>
    </xf>
    <xf numFmtId="4" fontId="11" fillId="38" borderId="0" xfId="0" applyNumberFormat="1" applyFont="1" applyFill="1" applyAlignment="1" applyProtection="1">
      <alignment horizontal="center" vertical="center"/>
      <protection/>
    </xf>
    <xf numFmtId="1" fontId="5" fillId="0" borderId="0" xfId="0" applyNumberFormat="1" applyFont="1" applyFill="1" applyAlignment="1" applyProtection="1">
      <alignment horizontal="center" vertical="center"/>
      <protection/>
    </xf>
    <xf numFmtId="1" fontId="17" fillId="39" borderId="0" xfId="0" applyNumberFormat="1" applyFont="1" applyFill="1" applyAlignment="1" applyProtection="1">
      <alignment horizontal="center" vertical="center"/>
      <protection/>
    </xf>
    <xf numFmtId="4" fontId="5" fillId="0" borderId="0" xfId="0" applyNumberFormat="1" applyFont="1" applyFill="1" applyAlignment="1" applyProtection="1">
      <alignment horizontal="center" vertical="center"/>
      <protection/>
    </xf>
    <xf numFmtId="4" fontId="2" fillId="39" borderId="0" xfId="0" applyNumberFormat="1" applyFont="1" applyFill="1" applyAlignment="1" applyProtection="1">
      <alignment horizontal="center" vertical="center"/>
      <protection/>
    </xf>
    <xf numFmtId="1" fontId="3" fillId="0" borderId="0" xfId="0" applyNumberFormat="1" applyFont="1" applyAlignment="1" applyProtection="1">
      <alignment vertical="center"/>
      <protection/>
    </xf>
    <xf numFmtId="1" fontId="9" fillId="0" borderId="0" xfId="0" applyNumberFormat="1" applyFont="1" applyAlignment="1" applyProtection="1">
      <alignment horizontal="center" vertical="center"/>
      <protection/>
    </xf>
    <xf numFmtId="1" fontId="5" fillId="0" borderId="0" xfId="0" applyNumberFormat="1" applyFont="1" applyAlignment="1" applyProtection="1">
      <alignment horizontal="left" vertical="center"/>
      <protection/>
    </xf>
    <xf numFmtId="4" fontId="23" fillId="0" borderId="0" xfId="0" applyNumberFormat="1" applyFont="1" applyAlignment="1" applyProtection="1">
      <alignment horizontal="center" vertical="center"/>
      <protection/>
    </xf>
    <xf numFmtId="1" fontId="21" fillId="0" borderId="0" xfId="0" applyNumberFormat="1" applyFont="1" applyAlignment="1" applyProtection="1">
      <alignment horizontal="center" vertical="center"/>
      <protection/>
    </xf>
    <xf numFmtId="1" fontId="22" fillId="38" borderId="0" xfId="0" applyNumberFormat="1" applyFont="1" applyFill="1" applyAlignment="1" applyProtection="1">
      <alignment horizontal="center" vertical="center"/>
      <protection/>
    </xf>
    <xf numFmtId="1" fontId="8" fillId="0" borderId="0" xfId="0" applyNumberFormat="1" applyFont="1" applyAlignment="1" applyProtection="1">
      <alignment horizontal="left" vertical="center"/>
      <protection/>
    </xf>
    <xf numFmtId="1" fontId="8" fillId="0" borderId="0" xfId="0" applyNumberFormat="1" applyFont="1" applyAlignment="1" applyProtection="1">
      <alignment vertical="center"/>
      <protection/>
    </xf>
    <xf numFmtId="1" fontId="20" fillId="40" borderId="0" xfId="0" applyNumberFormat="1" applyFont="1" applyFill="1" applyAlignment="1" applyProtection="1">
      <alignment horizontal="center" vertical="center"/>
      <protection/>
    </xf>
    <xf numFmtId="1" fontId="17" fillId="40" borderId="0" xfId="0" applyNumberFormat="1" applyFont="1" applyFill="1" applyAlignment="1" applyProtection="1">
      <alignment horizontal="center" vertical="center" wrapText="1"/>
      <protection/>
    </xf>
    <xf numFmtId="10" fontId="5" fillId="0" borderId="0" xfId="0" applyNumberFormat="1" applyFont="1" applyAlignment="1" applyProtection="1">
      <alignment horizontal="center" vertical="center"/>
      <protection/>
    </xf>
    <xf numFmtId="4" fontId="5" fillId="0" borderId="0" xfId="0" applyNumberFormat="1" applyFont="1" applyFill="1" applyAlignment="1" applyProtection="1">
      <alignment vertical="center"/>
      <protection/>
    </xf>
    <xf numFmtId="3" fontId="20" fillId="40" borderId="0" xfId="0" applyNumberFormat="1" applyFont="1" applyFill="1" applyAlignment="1" applyProtection="1">
      <alignment horizontal="center" vertical="center"/>
      <protection/>
    </xf>
    <xf numFmtId="4" fontId="6" fillId="40" borderId="0" xfId="0" applyNumberFormat="1" applyFont="1" applyFill="1" applyAlignment="1" applyProtection="1">
      <alignment horizontal="center" vertical="center"/>
      <protection/>
    </xf>
    <xf numFmtId="1" fontId="10" fillId="40" borderId="0" xfId="0" applyNumberFormat="1" applyFont="1" applyFill="1" applyAlignment="1" applyProtection="1">
      <alignment horizontal="center" vertical="center" wrapText="1"/>
      <protection/>
    </xf>
    <xf numFmtId="4" fontId="6" fillId="40" borderId="0" xfId="0" applyNumberFormat="1" applyFont="1" applyFill="1" applyAlignment="1" applyProtection="1">
      <alignment vertical="center" wrapText="1"/>
      <protection/>
    </xf>
    <xf numFmtId="4" fontId="10" fillId="40" borderId="0" xfId="0" applyNumberFormat="1" applyFont="1" applyFill="1" applyAlignment="1" applyProtection="1">
      <alignment horizontal="center" vertical="center"/>
      <protection/>
    </xf>
    <xf numFmtId="10" fontId="6" fillId="40" borderId="0" xfId="0" applyNumberFormat="1" applyFont="1" applyFill="1" applyAlignment="1" applyProtection="1">
      <alignment horizontal="center" vertical="center"/>
      <protection/>
    </xf>
    <xf numFmtId="3" fontId="6" fillId="40" borderId="0" xfId="0" applyNumberFormat="1" applyFont="1" applyFill="1" applyAlignment="1" applyProtection="1">
      <alignment horizontal="center" vertical="center"/>
      <protection/>
    </xf>
    <xf numFmtId="3" fontId="25" fillId="0" borderId="0" xfId="0" applyNumberFormat="1" applyFont="1" applyAlignment="1" applyProtection="1">
      <alignment horizontal="center" vertical="center"/>
      <protection/>
    </xf>
    <xf numFmtId="1" fontId="20" fillId="41" borderId="0" xfId="0" applyNumberFormat="1" applyFont="1" applyFill="1" applyAlignment="1" applyProtection="1">
      <alignment horizontal="center" vertical="center"/>
      <protection/>
    </xf>
    <xf numFmtId="4" fontId="5" fillId="33" borderId="0" xfId="0" applyNumberFormat="1" applyFont="1" applyFill="1" applyBorder="1" applyAlignment="1" applyProtection="1">
      <alignment horizontal="center" vertical="center"/>
      <protection/>
    </xf>
    <xf numFmtId="1" fontId="5" fillId="33" borderId="0" xfId="0" applyNumberFormat="1" applyFont="1" applyFill="1" applyBorder="1" applyAlignment="1" applyProtection="1">
      <alignment horizontal="center" vertical="center"/>
      <protection/>
    </xf>
    <xf numFmtId="4" fontId="6" fillId="33" borderId="0" xfId="0" applyNumberFormat="1" applyFont="1" applyFill="1" applyAlignment="1" applyProtection="1">
      <alignment vertical="center" wrapText="1"/>
      <protection/>
    </xf>
    <xf numFmtId="4" fontId="5" fillId="33" borderId="0" xfId="0" applyNumberFormat="1" applyFont="1" applyFill="1" applyAlignment="1" applyProtection="1">
      <alignment vertical="center" wrapText="1"/>
      <protection/>
    </xf>
    <xf numFmtId="4" fontId="6" fillId="33" borderId="0" xfId="0" applyNumberFormat="1" applyFont="1" applyFill="1" applyAlignment="1" applyProtection="1">
      <alignment horizontal="center" vertical="center"/>
      <protection/>
    </xf>
    <xf numFmtId="4" fontId="5" fillId="0" borderId="0" xfId="0" applyNumberFormat="1" applyFont="1" applyFill="1" applyAlignment="1" applyProtection="1">
      <alignment vertical="center" wrapText="1"/>
      <protection/>
    </xf>
    <xf numFmtId="3" fontId="5" fillId="42" borderId="0" xfId="0" applyNumberFormat="1" applyFont="1" applyFill="1" applyBorder="1" applyAlignment="1" applyProtection="1">
      <alignment horizontal="center" vertical="center" wrapText="1"/>
      <protection locked="0"/>
    </xf>
    <xf numFmtId="4" fontId="5" fillId="42" borderId="0" xfId="0" applyNumberFormat="1" applyFont="1" applyFill="1" applyBorder="1" applyAlignment="1" applyProtection="1">
      <alignment horizontal="center" vertical="center"/>
      <protection locked="0"/>
    </xf>
    <xf numFmtId="3" fontId="5" fillId="42" borderId="0" xfId="0" applyNumberFormat="1" applyFont="1" applyFill="1" applyBorder="1" applyAlignment="1" applyProtection="1">
      <alignment horizontal="center" vertical="center"/>
      <protection locked="0"/>
    </xf>
    <xf numFmtId="4" fontId="27" fillId="38" borderId="17" xfId="0" applyNumberFormat="1" applyFont="1" applyFill="1" applyBorder="1" applyAlignment="1" applyProtection="1">
      <alignment horizontal="center" vertical="center"/>
      <protection/>
    </xf>
    <xf numFmtId="165" fontId="27" fillId="38" borderId="17" xfId="0" applyNumberFormat="1" applyFont="1" applyFill="1" applyBorder="1" applyAlignment="1" applyProtection="1">
      <alignment horizontal="center" vertical="center"/>
      <protection/>
    </xf>
    <xf numFmtId="10" fontId="27" fillId="38" borderId="17" xfId="0" applyNumberFormat="1" applyFont="1" applyFill="1" applyBorder="1" applyAlignment="1" applyProtection="1">
      <alignment horizontal="center" vertical="center"/>
      <protection/>
    </xf>
    <xf numFmtId="164" fontId="12" fillId="38" borderId="17" xfId="0" applyNumberFormat="1" applyFont="1" applyFill="1" applyBorder="1" applyAlignment="1" applyProtection="1">
      <alignment horizontal="center" vertical="center"/>
      <protection/>
    </xf>
    <xf numFmtId="1" fontId="11" fillId="34" borderId="0" xfId="0" applyNumberFormat="1" applyFont="1" applyFill="1" applyAlignment="1" applyProtection="1">
      <alignment horizontal="center" vertical="center"/>
      <protection/>
    </xf>
    <xf numFmtId="4" fontId="10" fillId="34" borderId="0" xfId="0" applyNumberFormat="1" applyFont="1" applyFill="1" applyAlignment="1" applyProtection="1">
      <alignment vertical="center"/>
      <protection/>
    </xf>
    <xf numFmtId="4" fontId="10" fillId="0" borderId="0" xfId="0" applyNumberFormat="1" applyFont="1" applyAlignment="1" applyProtection="1">
      <alignment vertical="center"/>
      <protection/>
    </xf>
    <xf numFmtId="3" fontId="6" fillId="43" borderId="0" xfId="0" applyNumberFormat="1" applyFont="1" applyFill="1" applyAlignment="1" applyProtection="1">
      <alignment horizontal="center" vertical="center"/>
      <protection/>
    </xf>
    <xf numFmtId="1" fontId="6" fillId="43" borderId="0" xfId="0" applyNumberFormat="1" applyFont="1" applyFill="1" applyAlignment="1" applyProtection="1">
      <alignment horizontal="center" vertical="center"/>
      <protection/>
    </xf>
    <xf numFmtId="3" fontId="5" fillId="43" borderId="0" xfId="0" applyNumberFormat="1" applyFont="1" applyFill="1" applyAlignment="1" applyProtection="1">
      <alignment horizontal="center" vertical="center"/>
      <protection/>
    </xf>
    <xf numFmtId="1" fontId="5" fillId="43" borderId="0" xfId="0" applyNumberFormat="1" applyFont="1" applyFill="1" applyAlignment="1" applyProtection="1">
      <alignment horizontal="center" vertical="center"/>
      <protection/>
    </xf>
    <xf numFmtId="4" fontId="6" fillId="35" borderId="0" xfId="0" applyNumberFormat="1" applyFont="1" applyFill="1" applyBorder="1" applyAlignment="1" applyProtection="1">
      <alignment horizontal="center" vertical="center"/>
      <protection/>
    </xf>
    <xf numFmtId="1" fontId="2" fillId="0" borderId="0" xfId="0" applyNumberFormat="1" applyFont="1" applyAlignment="1" applyProtection="1">
      <alignment horizontal="center" vertical="center"/>
      <protection/>
    </xf>
    <xf numFmtId="1" fontId="22" fillId="0" borderId="0" xfId="0" applyNumberFormat="1" applyFont="1" applyAlignment="1" applyProtection="1">
      <alignment horizontal="center" vertical="center"/>
      <protection/>
    </xf>
    <xf numFmtId="1" fontId="3" fillId="0" borderId="0" xfId="0" applyNumberFormat="1" applyFont="1" applyFill="1" applyAlignment="1" applyProtection="1">
      <alignment horizontal="center" vertical="center"/>
      <protection/>
    </xf>
    <xf numFmtId="1" fontId="17" fillId="0" borderId="0" xfId="0" applyNumberFormat="1" applyFont="1" applyFill="1" applyAlignment="1" applyProtection="1">
      <alignment horizontal="center" vertical="center"/>
      <protection/>
    </xf>
    <xf numFmtId="4" fontId="3" fillId="0" borderId="0" xfId="0" applyNumberFormat="1" applyFont="1" applyFill="1" applyAlignment="1" applyProtection="1">
      <alignment horizontal="center" vertical="center"/>
      <protection/>
    </xf>
    <xf numFmtId="4" fontId="5" fillId="44" borderId="0" xfId="0" applyNumberFormat="1" applyFont="1" applyFill="1" applyAlignment="1" applyProtection="1">
      <alignment horizontal="center" vertical="center"/>
      <protection/>
    </xf>
    <xf numFmtId="4" fontId="3" fillId="44" borderId="0" xfId="0" applyNumberFormat="1" applyFont="1" applyFill="1" applyAlignment="1" applyProtection="1">
      <alignment horizontal="center" vertical="center"/>
      <protection/>
    </xf>
    <xf numFmtId="4" fontId="8" fillId="0" borderId="0" xfId="0" applyNumberFormat="1" applyFont="1" applyFill="1" applyAlignment="1" applyProtection="1">
      <alignment vertical="center"/>
      <protection/>
    </xf>
    <xf numFmtId="1" fontId="26" fillId="42" borderId="0" xfId="0" applyNumberFormat="1" applyFont="1" applyFill="1" applyAlignment="1" applyProtection="1">
      <alignment horizontal="center" vertical="center"/>
      <protection/>
    </xf>
    <xf numFmtId="1" fontId="5" fillId="37" borderId="0" xfId="0" applyNumberFormat="1" applyFont="1" applyFill="1" applyAlignment="1" applyProtection="1">
      <alignment horizontal="center" vertical="center"/>
      <protection/>
    </xf>
    <xf numFmtId="1" fontId="8" fillId="45" borderId="0" xfId="0" applyNumberFormat="1" applyFont="1" applyFill="1" applyAlignment="1" applyProtection="1">
      <alignment horizontal="center" vertical="center"/>
      <protection/>
    </xf>
    <xf numFmtId="4" fontId="8" fillId="45" borderId="0" xfId="0" applyNumberFormat="1" applyFont="1" applyFill="1" applyAlignment="1" applyProtection="1">
      <alignment horizontal="center" vertical="center"/>
      <protection/>
    </xf>
    <xf numFmtId="4" fontId="5" fillId="45" borderId="0" xfId="0" applyNumberFormat="1" applyFont="1" applyFill="1" applyAlignment="1" applyProtection="1">
      <alignment horizontal="center" vertical="center"/>
      <protection/>
    </xf>
    <xf numFmtId="10" fontId="5" fillId="45" borderId="0" xfId="0" applyNumberFormat="1" applyFont="1" applyFill="1" applyAlignment="1" applyProtection="1">
      <alignment horizontal="center" vertical="center"/>
      <protection/>
    </xf>
    <xf numFmtId="4" fontId="5" fillId="45" borderId="0" xfId="0" applyNumberFormat="1" applyFont="1" applyFill="1" applyAlignment="1" applyProtection="1">
      <alignment vertical="center"/>
      <protection/>
    </xf>
    <xf numFmtId="1" fontId="19" fillId="45" borderId="0" xfId="0" applyNumberFormat="1" applyFont="1" applyFill="1" applyAlignment="1" applyProtection="1">
      <alignment horizontal="center" vertical="center"/>
      <protection/>
    </xf>
    <xf numFmtId="165" fontId="6" fillId="0" borderId="0" xfId="0" applyNumberFormat="1" applyFont="1" applyFill="1" applyAlignment="1" applyProtection="1">
      <alignment horizontal="center" vertical="center"/>
      <protection/>
    </xf>
    <xf numFmtId="165" fontId="6" fillId="40" borderId="0" xfId="0" applyNumberFormat="1" applyFont="1" applyFill="1" applyAlignment="1" applyProtection="1">
      <alignment horizontal="center" vertical="center"/>
      <protection/>
    </xf>
    <xf numFmtId="16" fontId="5" fillId="42" borderId="0" xfId="0" applyNumberFormat="1" applyFont="1" applyFill="1" applyBorder="1" applyAlignment="1" applyProtection="1">
      <alignment horizontal="center" vertical="center" wrapText="1"/>
      <protection locked="0"/>
    </xf>
    <xf numFmtId="4" fontId="6" fillId="37" borderId="18" xfId="0" applyNumberFormat="1" applyFont="1" applyFill="1" applyBorder="1" applyAlignment="1" applyProtection="1">
      <alignment horizontal="center" vertical="center"/>
      <protection/>
    </xf>
    <xf numFmtId="3" fontId="9" fillId="0" borderId="19" xfId="0" applyNumberFormat="1" applyFont="1" applyBorder="1" applyAlignment="1" applyProtection="1">
      <alignment horizontal="center" vertical="center"/>
      <protection/>
    </xf>
    <xf numFmtId="4" fontId="8" fillId="0" borderId="19" xfId="0" applyNumberFormat="1" applyFont="1" applyBorder="1" applyAlignment="1" applyProtection="1">
      <alignment horizontal="left" vertical="center"/>
      <protection/>
    </xf>
    <xf numFmtId="4" fontId="8" fillId="0" borderId="19" xfId="0" applyNumberFormat="1" applyFont="1" applyBorder="1" applyAlignment="1" applyProtection="1">
      <alignment horizontal="center" vertical="center"/>
      <protection/>
    </xf>
    <xf numFmtId="4" fontId="8" fillId="0" borderId="19" xfId="0" applyNumberFormat="1" applyFont="1" applyBorder="1" applyAlignment="1" applyProtection="1">
      <alignment vertical="center"/>
      <protection/>
    </xf>
    <xf numFmtId="1" fontId="8" fillId="0" borderId="20" xfId="0" applyNumberFormat="1" applyFont="1" applyBorder="1" applyAlignment="1" applyProtection="1">
      <alignment horizontal="center" vertical="center"/>
      <protection/>
    </xf>
    <xf numFmtId="3" fontId="9" fillId="0" borderId="17" xfId="0" applyNumberFormat="1" applyFont="1" applyBorder="1" applyAlignment="1" applyProtection="1">
      <alignment horizontal="center" vertical="center"/>
      <protection/>
    </xf>
    <xf numFmtId="4" fontId="33" fillId="0" borderId="17" xfId="0" applyNumberFormat="1" applyFont="1" applyBorder="1" applyAlignment="1" applyProtection="1">
      <alignment horizontal="center" vertical="center"/>
      <protection/>
    </xf>
    <xf numFmtId="4" fontId="34" fillId="0" borderId="17" xfId="0" applyNumberFormat="1" applyFont="1" applyBorder="1" applyAlignment="1" applyProtection="1">
      <alignment horizontal="center" vertical="center"/>
      <protection/>
    </xf>
    <xf numFmtId="1" fontId="33" fillId="0" borderId="21" xfId="0" applyNumberFormat="1" applyFont="1" applyBorder="1" applyAlignment="1" applyProtection="1">
      <alignment horizontal="center" vertical="center"/>
      <protection/>
    </xf>
    <xf numFmtId="4" fontId="8" fillId="0" borderId="22" xfId="0" applyNumberFormat="1" applyFont="1" applyBorder="1" applyAlignment="1" applyProtection="1">
      <alignment horizontal="center" vertical="center"/>
      <protection/>
    </xf>
    <xf numFmtId="3" fontId="39" fillId="0" borderId="17" xfId="0" applyNumberFormat="1" applyFont="1" applyBorder="1" applyAlignment="1" applyProtection="1">
      <alignment horizontal="center" vertical="center"/>
      <protection/>
    </xf>
    <xf numFmtId="4" fontId="1" fillId="0" borderId="17" xfId="0" applyNumberFormat="1" applyFont="1" applyBorder="1" applyAlignment="1" applyProtection="1">
      <alignment horizontal="left" vertical="center"/>
      <protection/>
    </xf>
    <xf numFmtId="4" fontId="1" fillId="0" borderId="17" xfId="0" applyNumberFormat="1" applyFont="1" applyBorder="1" applyAlignment="1" applyProtection="1">
      <alignment horizontal="center" vertical="center"/>
      <protection/>
    </xf>
    <xf numFmtId="4" fontId="8" fillId="0" borderId="17" xfId="0" applyNumberFormat="1" applyFont="1" applyBorder="1" applyAlignment="1" applyProtection="1">
      <alignment horizontal="left" vertical="center"/>
      <protection/>
    </xf>
    <xf numFmtId="4" fontId="8" fillId="0" borderId="17" xfId="0" applyNumberFormat="1" applyFont="1" applyBorder="1" applyAlignment="1" applyProtection="1">
      <alignment horizontal="center" vertical="center"/>
      <protection/>
    </xf>
    <xf numFmtId="4" fontId="5" fillId="0" borderId="22" xfId="0" applyNumberFormat="1" applyFont="1" applyBorder="1" applyAlignment="1" applyProtection="1">
      <alignment horizontal="center" vertical="center"/>
      <protection/>
    </xf>
    <xf numFmtId="4" fontId="8" fillId="0" borderId="17" xfId="0" applyNumberFormat="1" applyFont="1" applyBorder="1" applyAlignment="1" applyProtection="1">
      <alignment vertical="center"/>
      <protection/>
    </xf>
    <xf numFmtId="4" fontId="8" fillId="0" borderId="21" xfId="0" applyNumberFormat="1" applyFont="1" applyBorder="1" applyAlignment="1" applyProtection="1">
      <alignment vertical="center"/>
      <protection/>
    </xf>
    <xf numFmtId="4" fontId="5" fillId="0" borderId="23" xfId="0" applyNumberFormat="1" applyFont="1" applyBorder="1" applyAlignment="1" applyProtection="1">
      <alignment horizontal="center" vertical="center"/>
      <protection/>
    </xf>
    <xf numFmtId="3" fontId="9" fillId="0" borderId="24" xfId="0" applyNumberFormat="1" applyFont="1" applyBorder="1" applyAlignment="1" applyProtection="1">
      <alignment horizontal="center" vertical="center"/>
      <protection/>
    </xf>
    <xf numFmtId="4" fontId="8" fillId="0" borderId="24" xfId="0" applyNumberFormat="1" applyFont="1" applyBorder="1" applyAlignment="1" applyProtection="1">
      <alignment horizontal="left" vertical="center"/>
      <protection/>
    </xf>
    <xf numFmtId="4" fontId="8" fillId="0" borderId="24" xfId="0" applyNumberFormat="1" applyFont="1" applyBorder="1" applyAlignment="1" applyProtection="1">
      <alignment horizontal="center" vertical="center"/>
      <protection/>
    </xf>
    <xf numFmtId="4" fontId="8" fillId="0" borderId="24" xfId="0" applyNumberFormat="1" applyFont="1" applyBorder="1" applyAlignment="1" applyProtection="1">
      <alignment vertical="center"/>
      <protection/>
    </xf>
    <xf numFmtId="1" fontId="11" fillId="37" borderId="25" xfId="0" applyNumberFormat="1" applyFont="1" applyFill="1" applyBorder="1" applyAlignment="1" applyProtection="1">
      <alignment horizontal="center" vertical="center"/>
      <protection/>
    </xf>
    <xf numFmtId="1" fontId="5" fillId="0" borderId="0" xfId="0" applyNumberFormat="1" applyFont="1" applyAlignment="1" applyProtection="1">
      <alignment vertical="center"/>
      <protection/>
    </xf>
    <xf numFmtId="1" fontId="83" fillId="46" borderId="0" xfId="0" applyNumberFormat="1" applyFont="1" applyFill="1" applyAlignment="1" applyProtection="1">
      <alignment horizontal="center" vertical="center"/>
      <protection/>
    </xf>
    <xf numFmtId="1" fontId="5" fillId="46" borderId="0" xfId="0" applyNumberFormat="1" applyFont="1" applyFill="1" applyAlignment="1" applyProtection="1">
      <alignment vertical="center"/>
      <protection/>
    </xf>
    <xf numFmtId="1" fontId="5" fillId="46" borderId="0" xfId="0" applyNumberFormat="1" applyFont="1" applyFill="1" applyAlignment="1" applyProtection="1">
      <alignment horizontal="left" vertical="center"/>
      <protection/>
    </xf>
    <xf numFmtId="4" fontId="8" fillId="47" borderId="0" xfId="0" applyNumberFormat="1" applyFont="1" applyFill="1" applyAlignment="1" applyProtection="1">
      <alignment vertical="center"/>
      <protection/>
    </xf>
    <xf numFmtId="4" fontId="6" fillId="35" borderId="26" xfId="0" applyNumberFormat="1" applyFont="1" applyFill="1" applyBorder="1" applyAlignment="1" applyProtection="1">
      <alignment horizontal="center" vertical="center"/>
      <protection/>
    </xf>
    <xf numFmtId="1" fontId="3" fillId="48" borderId="0" xfId="0" applyNumberFormat="1" applyFont="1" applyFill="1" applyAlignment="1" applyProtection="1">
      <alignment horizontal="center" vertical="center"/>
      <protection/>
    </xf>
    <xf numFmtId="3" fontId="5" fillId="0" borderId="0" xfId="0" applyNumberFormat="1" applyFont="1" applyFill="1" applyAlignment="1" applyProtection="1">
      <alignment horizontal="center" vertical="center"/>
      <protection/>
    </xf>
    <xf numFmtId="1" fontId="3" fillId="49" borderId="0" xfId="0" applyNumberFormat="1" applyFont="1" applyFill="1" applyAlignment="1" applyProtection="1">
      <alignment horizontal="center" vertical="center"/>
      <protection/>
    </xf>
    <xf numFmtId="1" fontId="2" fillId="49" borderId="0" xfId="0" applyNumberFormat="1" applyFont="1" applyFill="1" applyAlignment="1" applyProtection="1">
      <alignment horizontal="center" vertical="center"/>
      <protection/>
    </xf>
    <xf numFmtId="3" fontId="5" fillId="49" borderId="0" xfId="0" applyNumberFormat="1" applyFont="1" applyFill="1" applyAlignment="1" applyProtection="1">
      <alignment horizontal="center" vertical="center"/>
      <protection/>
    </xf>
    <xf numFmtId="1" fontId="6" fillId="49" borderId="0" xfId="0" applyNumberFormat="1" applyFont="1" applyFill="1" applyAlignment="1" applyProtection="1">
      <alignment horizontal="center" vertical="center"/>
      <protection/>
    </xf>
    <xf numFmtId="3" fontId="6" fillId="46" borderId="0" xfId="0" applyNumberFormat="1" applyFont="1" applyFill="1" applyAlignment="1" applyProtection="1">
      <alignment horizontal="center" vertical="center"/>
      <protection/>
    </xf>
    <xf numFmtId="4" fontId="6" fillId="46" borderId="0" xfId="0" applyNumberFormat="1" applyFont="1" applyFill="1" applyAlignment="1" applyProtection="1">
      <alignment horizontal="center" vertical="center"/>
      <protection/>
    </xf>
    <xf numFmtId="1" fontId="10" fillId="50" borderId="0" xfId="0" applyNumberFormat="1" applyFont="1" applyFill="1" applyAlignment="1" applyProtection="1">
      <alignment horizontal="center" vertical="center"/>
      <protection/>
    </xf>
    <xf numFmtId="1" fontId="5" fillId="50" borderId="0" xfId="0" applyNumberFormat="1" applyFont="1" applyFill="1" applyAlignment="1" applyProtection="1">
      <alignment horizontal="center" vertical="center"/>
      <protection/>
    </xf>
    <xf numFmtId="1" fontId="12" fillId="50" borderId="0" xfId="0" applyNumberFormat="1" applyFont="1" applyFill="1" applyAlignment="1" applyProtection="1">
      <alignment horizontal="center" vertical="center"/>
      <protection/>
    </xf>
    <xf numFmtId="4" fontId="8" fillId="51" borderId="0" xfId="0" applyNumberFormat="1" applyFont="1" applyFill="1" applyAlignment="1" applyProtection="1">
      <alignment horizontal="center" vertical="center"/>
      <protection/>
    </xf>
    <xf numFmtId="4" fontId="6" fillId="51" borderId="0" xfId="0" applyNumberFormat="1" applyFont="1" applyFill="1" applyAlignment="1" applyProtection="1">
      <alignment horizontal="center" vertical="center"/>
      <protection/>
    </xf>
    <xf numFmtId="0" fontId="36" fillId="0" borderId="18" xfId="0" applyFont="1" applyBorder="1" applyAlignment="1" applyProtection="1">
      <alignment horizontal="center" vertical="center"/>
      <protection/>
    </xf>
    <xf numFmtId="3" fontId="38" fillId="34" borderId="19" xfId="0" applyNumberFormat="1" applyFont="1" applyFill="1" applyBorder="1" applyAlignment="1" applyProtection="1">
      <alignment horizontal="center" vertical="center"/>
      <protection/>
    </xf>
    <xf numFmtId="0" fontId="0" fillId="0" borderId="19" xfId="0" applyBorder="1" applyAlignment="1" applyProtection="1">
      <alignment vertical="center"/>
      <protection/>
    </xf>
    <xf numFmtId="0" fontId="36" fillId="0" borderId="19" xfId="0" applyFont="1" applyBorder="1" applyAlignment="1" applyProtection="1">
      <alignment horizontal="center" vertical="center"/>
      <protection/>
    </xf>
    <xf numFmtId="0" fontId="37" fillId="0" borderId="20" xfId="0" applyFont="1" applyBorder="1" applyAlignment="1" applyProtection="1">
      <alignment horizontal="center" vertical="center"/>
      <protection/>
    </xf>
    <xf numFmtId="0" fontId="36" fillId="0" borderId="22" xfId="0" applyFont="1" applyBorder="1" applyAlignment="1" applyProtection="1">
      <alignment horizontal="center" vertical="center"/>
      <protection/>
    </xf>
    <xf numFmtId="0" fontId="0" fillId="0" borderId="17" xfId="0" applyBorder="1" applyAlignment="1" applyProtection="1">
      <alignment vertical="center"/>
      <protection/>
    </xf>
    <xf numFmtId="0" fontId="0" fillId="0" borderId="17" xfId="0" applyBorder="1" applyAlignment="1" applyProtection="1">
      <alignment horizontal="center" vertical="center"/>
      <protection/>
    </xf>
    <xf numFmtId="0" fontId="37" fillId="0" borderId="21" xfId="0" applyFont="1" applyBorder="1" applyAlignment="1" applyProtection="1">
      <alignment horizontal="center" vertical="center"/>
      <protection/>
    </xf>
    <xf numFmtId="0" fontId="0" fillId="0" borderId="17" xfId="0" applyBorder="1" applyAlignment="1" applyProtection="1">
      <alignment horizontal="left" vertical="center"/>
      <protection/>
    </xf>
    <xf numFmtId="0" fontId="0" fillId="0" borderId="17" xfId="0" applyFill="1" applyBorder="1" applyAlignment="1" applyProtection="1">
      <alignment horizontal="center" vertical="center"/>
      <protection/>
    </xf>
    <xf numFmtId="0" fontId="36" fillId="0" borderId="23" xfId="0" applyFont="1" applyBorder="1" applyAlignment="1" applyProtection="1">
      <alignment horizontal="center" vertical="center"/>
      <protection/>
    </xf>
    <xf numFmtId="0" fontId="0" fillId="19" borderId="24" xfId="0" applyFill="1" applyBorder="1" applyAlignment="1" applyProtection="1">
      <alignment horizontal="left" vertical="center"/>
      <protection/>
    </xf>
    <xf numFmtId="0" fontId="36" fillId="0" borderId="0" xfId="0" applyFont="1" applyAlignment="1" applyProtection="1">
      <alignment horizontal="center" vertical="center"/>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1" fontId="37" fillId="0" borderId="0" xfId="0" applyNumberFormat="1" applyFont="1" applyAlignment="1" applyProtection="1">
      <alignment horizontal="center" vertical="center"/>
      <protection/>
    </xf>
    <xf numFmtId="0" fontId="36" fillId="0" borderId="0" xfId="0" applyFont="1" applyFill="1" applyAlignment="1" applyProtection="1">
      <alignment horizontal="center" vertical="center"/>
      <protection/>
    </xf>
    <xf numFmtId="3" fontId="38" fillId="37" borderId="22" xfId="0" applyNumberFormat="1" applyFont="1" applyFill="1" applyBorder="1" applyAlignment="1" applyProtection="1">
      <alignment horizontal="center" vertical="center"/>
      <protection/>
    </xf>
    <xf numFmtId="0" fontId="0" fillId="19" borderId="27" xfId="0" applyFill="1" applyBorder="1" applyAlignment="1" applyProtection="1">
      <alignment horizontal="left" vertical="center" wrapText="1"/>
      <protection/>
    </xf>
    <xf numFmtId="0" fontId="0" fillId="19" borderId="28" xfId="0" applyFill="1" applyBorder="1" applyAlignment="1" applyProtection="1">
      <alignment horizontal="left" vertical="center" wrapText="1"/>
      <protection/>
    </xf>
    <xf numFmtId="0" fontId="0" fillId="19" borderId="29" xfId="0" applyFill="1" applyBorder="1" applyAlignment="1" applyProtection="1">
      <alignment horizontal="left" vertical="center" wrapText="1"/>
      <protection/>
    </xf>
    <xf numFmtId="4" fontId="6" fillId="35" borderId="26" xfId="0" applyNumberFormat="1" applyFont="1" applyFill="1" applyBorder="1" applyAlignment="1" applyProtection="1">
      <alignment horizontal="center" vertical="center"/>
      <protection/>
    </xf>
    <xf numFmtId="4" fontId="6" fillId="35" borderId="0" xfId="0" applyNumberFormat="1" applyFont="1" applyFill="1" applyBorder="1" applyAlignment="1" applyProtection="1">
      <alignment horizontal="center" vertical="center"/>
      <protection/>
    </xf>
    <xf numFmtId="4" fontId="6" fillId="35" borderId="26" xfId="0" applyNumberFormat="1" applyFont="1" applyFill="1" applyBorder="1" applyAlignment="1" applyProtection="1">
      <alignment horizontal="right" vertical="center"/>
      <protection/>
    </xf>
    <xf numFmtId="4" fontId="6" fillId="35" borderId="0" xfId="0" applyNumberFormat="1" applyFont="1" applyFill="1" applyBorder="1" applyAlignment="1" applyProtection="1">
      <alignment horizontal="right" vertical="center"/>
      <protection/>
    </xf>
    <xf numFmtId="0" fontId="15" fillId="0" borderId="0" xfId="0" applyFont="1" applyAlignment="1" applyProtection="1">
      <alignment horizontal="center"/>
      <protection/>
    </xf>
    <xf numFmtId="4" fontId="16" fillId="33" borderId="0" xfId="0" applyNumberFormat="1" applyFont="1" applyFill="1" applyBorder="1" applyAlignment="1" applyProtection="1">
      <alignment horizontal="left" vertical="center" wrapText="1"/>
      <protection/>
    </xf>
    <xf numFmtId="4" fontId="32" fillId="33" borderId="0" xfId="0" applyNumberFormat="1" applyFont="1" applyFill="1" applyBorder="1" applyAlignment="1" applyProtection="1">
      <alignment horizontal="left" wrapText="1"/>
      <protection/>
    </xf>
    <xf numFmtId="4" fontId="27" fillId="38" borderId="30" xfId="0" applyNumberFormat="1" applyFont="1" applyFill="1" applyBorder="1" applyAlignment="1" applyProtection="1">
      <alignment horizontal="center" vertical="center"/>
      <protection/>
    </xf>
    <xf numFmtId="4" fontId="27" fillId="38" borderId="31" xfId="0" applyNumberFormat="1" applyFont="1" applyFill="1" applyBorder="1" applyAlignment="1" applyProtection="1">
      <alignment horizontal="center" vertical="center"/>
      <protection/>
    </xf>
    <xf numFmtId="4" fontId="27" fillId="38" borderId="32" xfId="0" applyNumberFormat="1" applyFont="1" applyFill="1" applyBorder="1" applyAlignment="1" applyProtection="1">
      <alignment horizontal="center" vertical="center"/>
      <protection/>
    </xf>
    <xf numFmtId="4" fontId="31" fillId="33" borderId="0" xfId="0" applyNumberFormat="1" applyFont="1" applyFill="1" applyBorder="1" applyAlignment="1" applyProtection="1">
      <alignment horizontal="left" vertical="center" wrapText="1"/>
      <protection/>
    </xf>
    <xf numFmtId="164" fontId="31" fillId="33" borderId="0" xfId="0" applyNumberFormat="1" applyFont="1" applyFill="1" applyBorder="1" applyAlignment="1" applyProtection="1">
      <alignment horizontal="left" vertical="center" wrapText="1"/>
      <protection/>
    </xf>
    <xf numFmtId="1" fontId="14" fillId="33" borderId="0" xfId="0" applyNumberFormat="1" applyFont="1" applyFill="1" applyAlignment="1" applyProtection="1">
      <alignment horizontal="center" vertical="center"/>
      <protection/>
    </xf>
    <xf numFmtId="4" fontId="4" fillId="33" borderId="0" xfId="0" applyNumberFormat="1" applyFont="1" applyFill="1" applyBorder="1" applyAlignment="1" applyProtection="1">
      <alignment horizontal="left"/>
      <protection/>
    </xf>
    <xf numFmtId="4" fontId="18" fillId="33" borderId="0" xfId="0" applyNumberFormat="1" applyFont="1" applyFill="1" applyBorder="1" applyAlignment="1" applyProtection="1">
      <alignment horizontal="left"/>
      <protection/>
    </xf>
    <xf numFmtId="4" fontId="16" fillId="33" borderId="0" xfId="0" applyNumberFormat="1" applyFont="1" applyFill="1" applyBorder="1" applyAlignment="1" applyProtection="1">
      <alignment horizontal="left" vertical="center"/>
      <protection/>
    </xf>
    <xf numFmtId="4" fontId="11" fillId="38" borderId="30" xfId="0" applyNumberFormat="1" applyFont="1" applyFill="1" applyBorder="1" applyAlignment="1" applyProtection="1">
      <alignment horizontal="center" vertical="center"/>
      <protection/>
    </xf>
    <xf numFmtId="4" fontId="11" fillId="38" borderId="31" xfId="0" applyNumberFormat="1" applyFont="1" applyFill="1" applyBorder="1" applyAlignment="1" applyProtection="1">
      <alignment horizontal="center" vertical="center"/>
      <protection/>
    </xf>
    <xf numFmtId="4" fontId="11" fillId="38" borderId="32" xfId="0" applyNumberFormat="1" applyFont="1" applyFill="1" applyBorder="1" applyAlignment="1" applyProtection="1">
      <alignment horizontal="center" vertical="center"/>
      <protection/>
    </xf>
    <xf numFmtId="4" fontId="31" fillId="33" borderId="0" xfId="0" applyNumberFormat="1" applyFont="1" applyFill="1" applyBorder="1" applyAlignment="1" applyProtection="1">
      <alignment horizontal="left" vertical="center"/>
      <protection/>
    </xf>
    <xf numFmtId="4" fontId="28" fillId="33" borderId="0" xfId="0" applyNumberFormat="1" applyFont="1" applyFill="1" applyAlignment="1" applyProtection="1">
      <alignment horizontal="center" vertical="center"/>
      <protection/>
    </xf>
    <xf numFmtId="4" fontId="44" fillId="33" borderId="0" xfId="0" applyNumberFormat="1" applyFont="1" applyFill="1" applyBorder="1" applyAlignment="1" applyProtection="1">
      <alignment horizontal="center" vertical="center" wrapText="1"/>
      <protection/>
    </xf>
    <xf numFmtId="4" fontId="6" fillId="40" borderId="30" xfId="0" applyNumberFormat="1" applyFont="1" applyFill="1" applyBorder="1" applyAlignment="1" applyProtection="1">
      <alignment horizontal="center" vertical="center" wrapText="1"/>
      <protection/>
    </xf>
    <xf numFmtId="4" fontId="6" fillId="40" borderId="31" xfId="0" applyNumberFormat="1" applyFont="1" applyFill="1" applyBorder="1" applyAlignment="1" applyProtection="1">
      <alignment horizontal="center" vertical="center" wrapText="1"/>
      <protection/>
    </xf>
    <xf numFmtId="4" fontId="6" fillId="40" borderId="32" xfId="0" applyNumberFormat="1" applyFont="1" applyFill="1" applyBorder="1" applyAlignment="1" applyProtection="1">
      <alignment horizontal="center" vertical="center" wrapText="1"/>
      <protection/>
    </xf>
    <xf numFmtId="4" fontId="40" fillId="35" borderId="26" xfId="0" applyNumberFormat="1" applyFont="1" applyFill="1" applyBorder="1" applyAlignment="1" applyProtection="1">
      <alignment horizontal="justify" vertical="top" wrapText="1"/>
      <protection/>
    </xf>
    <xf numFmtId="4" fontId="40" fillId="35" borderId="0" xfId="0" applyNumberFormat="1" applyFont="1" applyFill="1" applyBorder="1" applyAlignment="1" applyProtection="1">
      <alignment horizontal="justify" vertical="top" wrapText="1"/>
      <protection/>
    </xf>
    <xf numFmtId="4" fontId="30" fillId="33" borderId="0" xfId="0" applyNumberFormat="1" applyFont="1" applyFill="1" applyBorder="1" applyAlignment="1" applyProtection="1">
      <alignment horizontal="center" vertical="center" wrapText="1"/>
      <protection/>
    </xf>
    <xf numFmtId="4" fontId="27" fillId="38" borderId="17" xfId="0" applyNumberFormat="1" applyFont="1" applyFill="1" applyBorder="1" applyAlignment="1" applyProtection="1">
      <alignment horizontal="center" vertical="center"/>
      <protection/>
    </xf>
    <xf numFmtId="4" fontId="34" fillId="35" borderId="26" xfId="0" applyNumberFormat="1" applyFont="1" applyFill="1" applyBorder="1" applyAlignment="1" applyProtection="1">
      <alignment horizontal="right" vertical="center"/>
      <protection/>
    </xf>
    <xf numFmtId="4" fontId="34" fillId="35"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center" vertical="center"/>
      <protection/>
    </xf>
    <xf numFmtId="4" fontId="5" fillId="35" borderId="26" xfId="0" applyNumberFormat="1" applyFont="1" applyFill="1" applyBorder="1" applyAlignment="1" applyProtection="1">
      <alignment horizontal="center" vertical="center"/>
      <protection/>
    </xf>
    <xf numFmtId="4" fontId="5" fillId="35" borderId="0" xfId="0" applyNumberFormat="1" applyFont="1" applyFill="1" applyBorder="1" applyAlignment="1" applyProtection="1">
      <alignment horizontal="center" vertical="center"/>
      <protection/>
    </xf>
    <xf numFmtId="4" fontId="42" fillId="33" borderId="0" xfId="0" applyNumberFormat="1" applyFont="1" applyFill="1" applyAlignment="1" applyProtection="1">
      <alignment horizontal="center" vertical="center" wrapText="1"/>
      <protection/>
    </xf>
    <xf numFmtId="4" fontId="33" fillId="42" borderId="0" xfId="0" applyNumberFormat="1" applyFont="1" applyFill="1" applyBorder="1" applyAlignment="1" applyProtection="1">
      <alignment horizontal="left" vertical="center" wrapText="1"/>
      <protection locked="0"/>
    </xf>
    <xf numFmtId="4" fontId="5" fillId="42" borderId="0" xfId="0" applyNumberFormat="1" applyFont="1" applyFill="1" applyBorder="1" applyAlignment="1" applyProtection="1">
      <alignment horizontal="center" vertical="center" wrapText="1"/>
      <protection locked="0"/>
    </xf>
    <xf numFmtId="4" fontId="84" fillId="46" borderId="30" xfId="0" applyNumberFormat="1" applyFont="1" applyFill="1" applyBorder="1" applyAlignment="1" applyProtection="1">
      <alignment horizontal="center" vertical="center" wrapText="1"/>
      <protection/>
    </xf>
    <xf numFmtId="4" fontId="84" fillId="46" borderId="31" xfId="0" applyNumberFormat="1" applyFont="1" applyFill="1" applyBorder="1" applyAlignment="1" applyProtection="1">
      <alignment horizontal="center" vertical="center" wrapText="1"/>
      <protection/>
    </xf>
    <xf numFmtId="4" fontId="84" fillId="46" borderId="32" xfId="0" applyNumberFormat="1" applyFont="1" applyFill="1" applyBorder="1" applyAlignment="1" applyProtection="1">
      <alignment horizontal="center" vertical="center" wrapText="1"/>
      <protection/>
    </xf>
    <xf numFmtId="4" fontId="6" fillId="33" borderId="0" xfId="0" applyNumberFormat="1" applyFont="1" applyFill="1" applyBorder="1" applyAlignment="1" applyProtection="1">
      <alignment horizontal="center" vertical="center" wrapText="1"/>
      <protection locked="0"/>
    </xf>
    <xf numFmtId="4" fontId="10" fillId="35" borderId="26" xfId="0" applyNumberFormat="1" applyFont="1" applyFill="1" applyBorder="1" applyAlignment="1" applyProtection="1">
      <alignment horizontal="justify" vertical="center" wrapText="1"/>
      <protection/>
    </xf>
    <xf numFmtId="4" fontId="10" fillId="35" borderId="0" xfId="0" applyNumberFormat="1" applyFont="1" applyFill="1" applyBorder="1" applyAlignment="1" applyProtection="1">
      <alignment horizontal="justify" vertical="center" wrapText="1"/>
      <protection/>
    </xf>
    <xf numFmtId="0" fontId="0" fillId="0" borderId="0" xfId="0" applyAlignment="1">
      <alignment/>
    </xf>
    <xf numFmtId="4" fontId="10" fillId="35" borderId="26"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8">
    <dxf>
      <fill>
        <patternFill>
          <bgColor theme="0"/>
        </patternFill>
      </fill>
      <border>
        <left/>
        <right/>
        <top/>
        <bottom/>
      </border>
    </dxf>
    <dxf>
      <fill>
        <patternFill>
          <bgColor rgb="FFCCFFCC"/>
        </patternFill>
      </fill>
    </dxf>
    <dxf>
      <fill>
        <patternFill>
          <bgColor rgb="FFCCFFCC"/>
        </patternFill>
      </fill>
    </dxf>
    <dxf>
      <font>
        <color rgb="FFFF0000"/>
      </font>
      <fill>
        <patternFill>
          <bgColor rgb="FF00FF00"/>
        </patternFill>
      </fill>
    </dxf>
    <dxf>
      <font>
        <color rgb="FFFF0000"/>
      </font>
      <fill>
        <patternFill>
          <bgColor rgb="FF00FF00"/>
        </patternFill>
      </fill>
    </dxf>
    <dxf>
      <font>
        <color rgb="FFFF0000"/>
      </font>
      <fill>
        <patternFill>
          <bgColor rgb="FF00FF00"/>
        </patternFill>
      </fill>
    </dxf>
    <dxf>
      <font>
        <color rgb="FFFF0000"/>
      </font>
      <fill>
        <patternFill>
          <bgColor rgb="FF00FF00"/>
        </patternFill>
      </fill>
    </dxf>
    <dxf>
      <font>
        <color indexed="10"/>
      </font>
      <fill>
        <patternFill>
          <bgColor indexed="11"/>
        </patternFill>
      </fill>
    </dxf>
    <dxf>
      <font>
        <color indexed="10"/>
      </font>
      <fill>
        <patternFill>
          <bgColor indexed="11"/>
        </patternFill>
      </fill>
    </dxf>
    <dxf>
      <font>
        <color rgb="FFFF0000"/>
      </font>
      <fill>
        <patternFill>
          <bgColor rgb="FF00FF00"/>
        </patternFill>
      </fill>
    </dxf>
    <dxf>
      <font>
        <color indexed="11"/>
      </font>
      <border>
        <right style="thin">
          <color indexed="11"/>
        </right>
        <top style="thin">
          <color indexed="11"/>
        </top>
        <bottom style="thin">
          <color indexed="11"/>
        </bottom>
      </border>
    </dxf>
    <dxf>
      <font>
        <color rgb="FFFF0000"/>
      </font>
      <fill>
        <patternFill>
          <bgColor rgb="FF00FF00"/>
        </patternFill>
      </fill>
    </dxf>
    <dxf>
      <fill>
        <patternFill>
          <bgColor theme="0"/>
        </patternFill>
      </fill>
      <border>
        <left style="thin">
          <color theme="0"/>
        </left>
        <right style="thin">
          <color theme="0"/>
        </right>
        <top style="thin">
          <color theme="0"/>
        </top>
        <bottom style="thin">
          <color theme="0"/>
        </bottom>
      </border>
    </dxf>
    <dxf>
      <font>
        <color indexed="9"/>
      </font>
      <fill>
        <patternFill>
          <bgColor indexed="10"/>
        </patternFill>
      </fill>
    </dxf>
    <dxf>
      <fill>
        <patternFill>
          <bgColor indexed="9"/>
        </patternFill>
      </fill>
      <border>
        <left style="thin">
          <color indexed="9"/>
        </left>
        <right style="thin">
          <color indexed="9"/>
        </right>
        <top style="thin">
          <color indexed="9"/>
        </top>
        <bottom style="thin">
          <color indexed="9"/>
        </bottom>
      </border>
    </dxf>
    <dxf>
      <font>
        <color indexed="10"/>
      </font>
      <fill>
        <patternFill>
          <bgColor indexed="11"/>
        </patternFill>
      </fill>
    </dxf>
    <dxf>
      <font>
        <color indexed="10"/>
      </font>
      <fill>
        <patternFill>
          <bgColor indexed="11"/>
        </patternFill>
      </fill>
    </dxf>
    <dxf>
      <font>
        <color indexed="10"/>
      </font>
      <fill>
        <patternFill>
          <bgColor indexed="11"/>
        </patternFill>
      </fill>
    </dxf>
    <dxf>
      <font>
        <color rgb="FFFF0000"/>
      </font>
      <fill>
        <patternFill>
          <bgColor rgb="FF00FF00"/>
        </patternFill>
      </fill>
    </dxf>
    <dxf>
      <font>
        <color rgb="FFFF0000"/>
      </font>
      <fill>
        <patternFill>
          <bgColor rgb="FF00FF00"/>
        </patternFill>
      </fill>
    </dxf>
    <dxf>
      <font>
        <color rgb="FFFF0000"/>
      </font>
      <fill>
        <patternFill>
          <bgColor rgb="FF00FF00"/>
        </patternFill>
      </fill>
    </dxf>
    <dxf>
      <font>
        <color rgb="FFFF0000"/>
      </font>
      <fill>
        <patternFill>
          <bgColor rgb="FF00FF00"/>
        </patternFill>
      </fill>
    </dxf>
    <dxf>
      <font>
        <color rgb="FFFF0000"/>
      </font>
      <fill>
        <patternFill>
          <bgColor rgb="FF00FF00"/>
        </patternFill>
      </fill>
    </dxf>
    <dxf>
      <font>
        <color rgb="FFFF0000"/>
      </font>
      <fill>
        <patternFill>
          <bgColor rgb="FF00FF00"/>
        </patternFill>
      </fill>
      <border/>
    </dxf>
    <dxf>
      <font>
        <color rgb="FFFF0000"/>
      </font>
      <fill>
        <patternFill>
          <bgColor rgb="FF00FF00"/>
        </patternFill>
      </fill>
      <border/>
    </dxf>
    <dxf>
      <fill>
        <patternFill>
          <bgColor rgb="FFFFFFFF"/>
        </patternFill>
      </fill>
      <border>
        <left style="thin">
          <color rgb="FFFFFFFF"/>
        </left>
        <right style="thin">
          <color rgb="FFFFFFFF"/>
        </right>
        <top style="thin"/>
        <bottom style="thin">
          <color rgb="FFFFFFFF"/>
        </bottom>
      </border>
    </dxf>
    <dxf>
      <font>
        <color rgb="FFFFFFFF"/>
      </font>
      <fill>
        <patternFill>
          <bgColor rgb="FFFF0000"/>
        </patternFill>
      </fill>
      <border/>
    </dxf>
    <dxf>
      <font>
        <color rgb="FF00FF00"/>
      </font>
      <border>
        <right style="thin">
          <color rgb="FF00FF00"/>
        </right>
        <top style="thin"/>
        <bottom style="thin">
          <color rgb="FF00FF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Φύλλο1"/>
  <dimension ref="A1:AW331"/>
  <sheetViews>
    <sheetView tabSelected="1" zoomScalePageLayoutView="0" workbookViewId="0" topLeftCell="A1">
      <selection activeCell="D8" sqref="D8:F8"/>
    </sheetView>
  </sheetViews>
  <sheetFormatPr defaultColWidth="13.28125" defaultRowHeight="21.75" customHeight="1"/>
  <cols>
    <col min="1" max="1" width="2.140625" style="8" customWidth="1"/>
    <col min="2" max="2" width="4.7109375" style="3" customWidth="1"/>
    <col min="3" max="3" width="26.421875" style="3" customWidth="1"/>
    <col min="4" max="4" width="53.7109375" style="3" customWidth="1"/>
    <col min="5" max="5" width="8.421875" style="2" customWidth="1"/>
    <col min="6" max="6" width="23.421875" style="3" customWidth="1"/>
    <col min="7" max="7" width="1.1484375" style="3" customWidth="1"/>
    <col min="8" max="9" width="13.28125" style="3" customWidth="1"/>
    <col min="10" max="10" width="7.8515625" style="2" hidden="1" customWidth="1"/>
    <col min="11" max="12" width="7.8515625" style="3" hidden="1" customWidth="1"/>
    <col min="13" max="13" width="13.00390625" style="3" hidden="1" customWidth="1"/>
    <col min="14" max="14" width="10.7109375" style="3" hidden="1" customWidth="1"/>
    <col min="15" max="15" width="7.8515625" style="3" hidden="1" customWidth="1"/>
    <col min="16" max="16" width="7.8515625" style="2" hidden="1" customWidth="1"/>
    <col min="17" max="17" width="22.140625" style="3" hidden="1" customWidth="1"/>
    <col min="18" max="18" width="37.00390625" style="4" hidden="1" customWidth="1"/>
    <col min="19" max="19" width="22.140625" style="5" hidden="1" customWidth="1"/>
    <col min="20" max="20" width="22.140625" style="6" hidden="1" customWidth="1"/>
    <col min="21" max="22" width="22.140625" style="7" hidden="1" customWidth="1"/>
    <col min="23" max="23" width="23.28125" style="7" hidden="1" customWidth="1"/>
    <col min="24" max="24" width="23.140625" style="7" hidden="1" customWidth="1"/>
    <col min="25" max="25" width="21.28125" style="7" hidden="1" customWidth="1"/>
    <col min="26" max="26" width="18.140625" style="7" hidden="1" customWidth="1"/>
    <col min="27" max="27" width="23.00390625" style="8" hidden="1" customWidth="1"/>
    <col min="28" max="28" width="25.28125" style="8" hidden="1" customWidth="1"/>
    <col min="29" max="29" width="22.00390625" style="8" hidden="1" customWidth="1"/>
    <col min="30" max="30" width="24.28125" style="8" hidden="1" customWidth="1"/>
    <col min="31" max="31" width="16.140625" style="8" hidden="1" customWidth="1"/>
    <col min="32" max="34" width="17.7109375" style="8" hidden="1" customWidth="1"/>
    <col min="35" max="35" width="16.57421875" style="8" hidden="1" customWidth="1"/>
    <col min="36" max="36" width="20.421875" style="8" hidden="1" customWidth="1"/>
    <col min="37" max="16384" width="13.28125" style="8" customWidth="1"/>
  </cols>
  <sheetData>
    <row r="1" spans="1:40" ht="23.25" customHeight="1">
      <c r="A1" s="198" t="s">
        <v>82</v>
      </c>
      <c r="B1" s="198"/>
      <c r="C1" s="198"/>
      <c r="D1" s="198"/>
      <c r="E1" s="198"/>
      <c r="F1" s="198"/>
      <c r="G1" s="1"/>
      <c r="H1" s="1"/>
      <c r="I1" s="1"/>
      <c r="AK1" s="9"/>
      <c r="AL1" s="9"/>
      <c r="AM1" s="9"/>
      <c r="AN1" s="9"/>
    </row>
    <row r="2" spans="1:40" ht="27" customHeight="1">
      <c r="A2" s="9"/>
      <c r="B2" s="212" t="s">
        <v>83</v>
      </c>
      <c r="C2" s="212"/>
      <c r="D2" s="212"/>
      <c r="E2" s="212"/>
      <c r="F2" s="212"/>
      <c r="G2" s="1"/>
      <c r="H2" s="1"/>
      <c r="I2" s="1"/>
      <c r="J2" s="10"/>
      <c r="K2" s="11"/>
      <c r="L2" s="11"/>
      <c r="M2" s="11"/>
      <c r="N2" s="11"/>
      <c r="O2" s="11"/>
      <c r="P2" s="10"/>
      <c r="Q2" s="11"/>
      <c r="R2" s="12"/>
      <c r="S2" s="13"/>
      <c r="T2" s="14"/>
      <c r="U2" s="15"/>
      <c r="V2" s="15"/>
      <c r="W2" s="15"/>
      <c r="X2" s="15"/>
      <c r="Y2" s="15"/>
      <c r="Z2" s="15"/>
      <c r="AA2" s="16"/>
      <c r="AB2" s="16"/>
      <c r="AC2" s="16"/>
      <c r="AD2" s="16"/>
      <c r="AE2" s="16"/>
      <c r="AF2" s="16"/>
      <c r="AG2" s="16"/>
      <c r="AH2" s="16"/>
      <c r="AI2" s="16"/>
      <c r="AJ2" s="16"/>
      <c r="AK2" s="9"/>
      <c r="AL2" s="9"/>
      <c r="AM2" s="9"/>
      <c r="AN2" s="9"/>
    </row>
    <row r="3" spans="1:40" ht="14.25" customHeight="1">
      <c r="A3" s="9"/>
      <c r="B3" s="199" t="s">
        <v>18</v>
      </c>
      <c r="C3" s="199"/>
      <c r="D3" s="199"/>
      <c r="E3" s="199"/>
      <c r="F3" s="199"/>
      <c r="G3" s="1"/>
      <c r="H3" s="1"/>
      <c r="I3" s="1"/>
      <c r="AE3" s="61"/>
      <c r="AF3" s="61"/>
      <c r="AG3" s="61"/>
      <c r="AH3" s="61"/>
      <c r="AI3" s="61"/>
      <c r="AJ3" s="61"/>
      <c r="AK3" s="9"/>
      <c r="AL3" s="9"/>
      <c r="AM3" s="9"/>
      <c r="AN3" s="9"/>
    </row>
    <row r="4" spans="1:40" ht="16.5" customHeight="1">
      <c r="A4" s="9"/>
      <c r="B4" s="205" t="s">
        <v>81</v>
      </c>
      <c r="C4" s="205"/>
      <c r="D4" s="205"/>
      <c r="E4" s="205"/>
      <c r="F4" s="205"/>
      <c r="G4" s="1"/>
      <c r="H4" s="1"/>
      <c r="I4" s="1"/>
      <c r="AE4" s="61"/>
      <c r="AF4" s="61"/>
      <c r="AG4" s="61"/>
      <c r="AH4" s="61"/>
      <c r="AI4" s="61"/>
      <c r="AJ4" s="61"/>
      <c r="AK4" s="9"/>
      <c r="AL4" s="9"/>
      <c r="AM4" s="9"/>
      <c r="AN4" s="9"/>
    </row>
    <row r="5" spans="1:40" ht="29.25" customHeight="1">
      <c r="A5" s="9"/>
      <c r="B5" s="17"/>
      <c r="C5" s="18"/>
      <c r="D5" s="18"/>
      <c r="E5" s="18"/>
      <c r="F5" s="18"/>
      <c r="G5" s="19"/>
      <c r="H5" s="1"/>
      <c r="I5" s="1"/>
      <c r="AE5" s="61"/>
      <c r="AF5" s="61"/>
      <c r="AG5" s="61"/>
      <c r="AH5" s="61"/>
      <c r="AI5" s="61"/>
      <c r="AJ5" s="61"/>
      <c r="AK5" s="9"/>
      <c r="AL5" s="9"/>
      <c r="AM5" s="9"/>
      <c r="AN5" s="9"/>
    </row>
    <row r="6" spans="1:40" ht="35.25" customHeight="1">
      <c r="A6" s="9"/>
      <c r="B6" s="180" t="s">
        <v>4</v>
      </c>
      <c r="C6" s="181"/>
      <c r="D6" s="218"/>
      <c r="E6" s="218"/>
      <c r="F6" s="218"/>
      <c r="G6" s="20"/>
      <c r="H6" s="1"/>
      <c r="I6" s="1"/>
      <c r="AE6" s="61"/>
      <c r="AF6" s="61"/>
      <c r="AG6" s="61"/>
      <c r="AH6" s="61"/>
      <c r="AI6" s="61"/>
      <c r="AJ6" s="61"/>
      <c r="AK6" s="9"/>
      <c r="AL6" s="9"/>
      <c r="AM6" s="9"/>
      <c r="AN6" s="9"/>
    </row>
    <row r="7" spans="1:40" ht="3.75" customHeight="1">
      <c r="A7" s="9"/>
      <c r="B7" s="178"/>
      <c r="C7" s="179"/>
      <c r="D7" s="179"/>
      <c r="E7" s="179"/>
      <c r="F7" s="179"/>
      <c r="G7" s="20"/>
      <c r="H7" s="1"/>
      <c r="I7" s="1"/>
      <c r="AE7" s="61"/>
      <c r="AF7" s="61"/>
      <c r="AG7" s="61"/>
      <c r="AH7" s="61"/>
      <c r="AI7" s="61"/>
      <c r="AJ7" s="61"/>
      <c r="AK7" s="9"/>
      <c r="AL7" s="9"/>
      <c r="AM7" s="9"/>
      <c r="AN7" s="9"/>
    </row>
    <row r="8" spans="1:40" ht="34.5" customHeight="1">
      <c r="A8" s="9"/>
      <c r="B8" s="180" t="s">
        <v>1</v>
      </c>
      <c r="C8" s="181"/>
      <c r="D8" s="213"/>
      <c r="E8" s="213"/>
      <c r="F8" s="213"/>
      <c r="G8" s="20"/>
      <c r="H8" s="1"/>
      <c r="I8" s="1"/>
      <c r="AE8" s="61"/>
      <c r="AF8" s="61"/>
      <c r="AG8" s="61"/>
      <c r="AH8" s="61"/>
      <c r="AI8" s="61"/>
      <c r="AJ8" s="61"/>
      <c r="AK8" s="9"/>
      <c r="AL8" s="9"/>
      <c r="AM8" s="9"/>
      <c r="AN8" s="9"/>
    </row>
    <row r="9" spans="1:40" ht="3" customHeight="1">
      <c r="A9" s="9"/>
      <c r="B9" s="178"/>
      <c r="C9" s="179"/>
      <c r="D9" s="179"/>
      <c r="E9" s="179"/>
      <c r="F9" s="179"/>
      <c r="G9" s="20"/>
      <c r="H9" s="1"/>
      <c r="I9" s="1"/>
      <c r="AE9" s="61"/>
      <c r="AF9" s="61"/>
      <c r="AG9" s="61"/>
      <c r="AH9" s="61"/>
      <c r="AI9" s="61"/>
      <c r="AJ9" s="61"/>
      <c r="AK9" s="9"/>
      <c r="AL9" s="9"/>
      <c r="AM9" s="9"/>
      <c r="AN9" s="9"/>
    </row>
    <row r="10" spans="1:40" ht="17.25" customHeight="1">
      <c r="A10" s="9"/>
      <c r="B10" s="180">
        <f>IF(V65=0,"","ΣΥΝΟΛΟ ΑΠΟΣΧΟΛΟΥΜΕΝΩΝ ΕΡΓΑΖΟΜΕΝΩΝ ΚΑΤΆ ΤΗΝ 1/9/2020")</f>
      </c>
      <c r="C10" s="181"/>
      <c r="D10" s="181"/>
      <c r="E10" s="181"/>
      <c r="F10" s="77"/>
      <c r="G10" s="20"/>
      <c r="H10" s="1"/>
      <c r="I10" s="1"/>
      <c r="AE10" s="61"/>
      <c r="AF10" s="61"/>
      <c r="AG10" s="61"/>
      <c r="AH10" s="61"/>
      <c r="AI10" s="61"/>
      <c r="AJ10" s="61"/>
      <c r="AK10" s="9"/>
      <c r="AL10" s="9"/>
      <c r="AM10" s="9"/>
      <c r="AN10" s="9"/>
    </row>
    <row r="11" spans="1:40" ht="3" customHeight="1">
      <c r="A11" s="9"/>
      <c r="B11" s="178"/>
      <c r="C11" s="179"/>
      <c r="D11" s="179"/>
      <c r="E11" s="179"/>
      <c r="F11" s="179"/>
      <c r="G11" s="20"/>
      <c r="H11" s="1"/>
      <c r="I11" s="1"/>
      <c r="AK11" s="9"/>
      <c r="AL11" s="9"/>
      <c r="AM11" s="9"/>
      <c r="AN11" s="9"/>
    </row>
    <row r="12" spans="1:40" ht="17.25" customHeight="1">
      <c r="A12" s="9"/>
      <c r="B12" s="180">
        <f>IF(Q71=1,"Η ΕΠΙΧΕΙΡΗΣΗ ΔΙΑΘΕΤΕΙ ΦΟΡΟΛΟΓΙΚΗ ΤΑΜΕΙΑΚΗ ΜΗΧΑΝΗ","")</f>
      </c>
      <c r="C12" s="181"/>
      <c r="D12" s="181"/>
      <c r="E12" s="181"/>
      <c r="F12" s="77"/>
      <c r="G12" s="20"/>
      <c r="H12" s="1"/>
      <c r="I12" s="1"/>
      <c r="AK12" s="9"/>
      <c r="AL12" s="9"/>
      <c r="AM12" s="9"/>
      <c r="AN12" s="9"/>
    </row>
    <row r="13" spans="1:40" ht="3" customHeight="1">
      <c r="A13" s="9"/>
      <c r="B13" s="178"/>
      <c r="C13" s="179"/>
      <c r="D13" s="179"/>
      <c r="E13" s="179"/>
      <c r="F13" s="179"/>
      <c r="G13" s="20"/>
      <c r="H13" s="1"/>
      <c r="I13" s="1"/>
      <c r="AK13" s="9"/>
      <c r="AL13" s="9"/>
      <c r="AM13" s="9"/>
      <c r="AN13" s="9"/>
    </row>
    <row r="14" spans="1:40" ht="25.5" customHeight="1">
      <c r="A14" s="9"/>
      <c r="B14" s="219">
        <f>IF(P73=1,Y152,"")</f>
      </c>
      <c r="C14" s="220"/>
      <c r="D14" s="220"/>
      <c r="E14" s="220"/>
      <c r="F14" s="77"/>
      <c r="G14" s="20"/>
      <c r="H14" s="1"/>
      <c r="I14" s="1"/>
      <c r="AK14" s="9"/>
      <c r="AL14" s="9"/>
      <c r="AM14" s="9"/>
      <c r="AN14" s="9"/>
    </row>
    <row r="15" spans="1:40" ht="3" customHeight="1">
      <c r="A15" s="9"/>
      <c r="B15" s="178"/>
      <c r="C15" s="179"/>
      <c r="D15" s="179"/>
      <c r="E15" s="179"/>
      <c r="F15" s="179"/>
      <c r="G15" s="20"/>
      <c r="H15" s="1"/>
      <c r="I15" s="1"/>
      <c r="AK15" s="9"/>
      <c r="AL15" s="9"/>
      <c r="AM15" s="9"/>
      <c r="AN15" s="9"/>
    </row>
    <row r="16" spans="1:40" ht="36" customHeight="1">
      <c r="A16" s="9"/>
      <c r="B16" s="219">
        <f>IF(P75=1,Y153,"")</f>
      </c>
      <c r="C16" s="221"/>
      <c r="D16" s="221"/>
      <c r="E16" s="221"/>
      <c r="F16" s="77"/>
      <c r="G16" s="20"/>
      <c r="H16" s="1"/>
      <c r="I16" s="1"/>
      <c r="AK16" s="9"/>
      <c r="AL16" s="9"/>
      <c r="AM16" s="9"/>
      <c r="AN16" s="9"/>
    </row>
    <row r="17" spans="1:40" ht="3" customHeight="1">
      <c r="A17" s="9"/>
      <c r="B17" s="178"/>
      <c r="C17" s="179"/>
      <c r="D17" s="179"/>
      <c r="E17" s="179"/>
      <c r="F17" s="179"/>
      <c r="G17" s="20"/>
      <c r="H17" s="1"/>
      <c r="I17" s="1"/>
      <c r="AK17" s="9"/>
      <c r="AL17" s="9"/>
      <c r="AM17" s="9"/>
      <c r="AN17" s="9"/>
    </row>
    <row r="18" spans="1:40" ht="18.75" customHeight="1">
      <c r="A18" s="9"/>
      <c r="B18" s="222">
        <f>IF(P77=1,"ΚΥΡΙΟΣ ΚΑΔ ΣΤΙΣ 5/11/2020 ή ΚΑΔ ΔΕΥΤ. ΔΡΑΣΤ/ΤΑΣ ΣΤΙΣ 5/11/2020 ΜΕ ΜΕΓΑΛΥΤΕΡΑ ΑΚΑΘ. ΕΣΟΔΑ ΕΤΟΥΣ 2018 ","")</f>
      </c>
      <c r="C18" s="223"/>
      <c r="D18" s="223"/>
      <c r="E18" s="223"/>
      <c r="F18" s="110"/>
      <c r="G18" s="20"/>
      <c r="H18" s="1"/>
      <c r="I18" s="1"/>
      <c r="AK18" s="9"/>
      <c r="AL18" s="9"/>
      <c r="AM18" s="9"/>
      <c r="AN18" s="9"/>
    </row>
    <row r="19" spans="1:40" ht="3" customHeight="1">
      <c r="A19" s="9"/>
      <c r="B19" s="178"/>
      <c r="C19" s="179"/>
      <c r="D19" s="179"/>
      <c r="E19" s="179"/>
      <c r="F19" s="179"/>
      <c r="G19" s="20"/>
      <c r="H19" s="1"/>
      <c r="I19" s="1"/>
      <c r="AK19" s="9"/>
      <c r="AL19" s="9"/>
      <c r="AM19" s="9"/>
      <c r="AN19" s="9"/>
    </row>
    <row r="20" spans="1:40" ht="26.25" customHeight="1">
      <c r="A20" s="9"/>
      <c r="B20" s="203">
        <f>V302</f>
      </c>
      <c r="C20" s="204"/>
      <c r="D20" s="204"/>
      <c r="E20" s="204"/>
      <c r="F20" s="204"/>
      <c r="G20" s="20"/>
      <c r="H20" s="1"/>
      <c r="I20" s="1"/>
      <c r="AK20" s="9"/>
      <c r="AL20" s="9"/>
      <c r="AM20" s="9"/>
      <c r="AN20" s="9"/>
    </row>
    <row r="21" spans="1:40" ht="65.25" customHeight="1">
      <c r="A21" s="9"/>
      <c r="B21" s="203">
        <f>V314</f>
      </c>
      <c r="C21" s="204"/>
      <c r="D21" s="204"/>
      <c r="E21" s="204"/>
      <c r="F21" s="204"/>
      <c r="G21" s="20"/>
      <c r="H21" s="1"/>
      <c r="I21" s="1"/>
      <c r="AK21" s="9"/>
      <c r="AL21" s="9"/>
      <c r="AM21" s="9"/>
      <c r="AN21" s="9"/>
    </row>
    <row r="22" spans="1:40" ht="3" customHeight="1">
      <c r="A22" s="9"/>
      <c r="B22" s="178"/>
      <c r="C22" s="179"/>
      <c r="D22" s="179"/>
      <c r="E22" s="179"/>
      <c r="F22" s="179"/>
      <c r="G22" s="20"/>
      <c r="H22" s="1"/>
      <c r="I22" s="1"/>
      <c r="AK22" s="9"/>
      <c r="AL22" s="9"/>
      <c r="AM22" s="9"/>
      <c r="AN22" s="9"/>
    </row>
    <row r="23" spans="1:40" ht="17.25" customHeight="1">
      <c r="A23" s="9"/>
      <c r="B23" s="180">
        <f>IF(F14="","",IF(U302=0,"","ΚΑΤΗΓΟΡΙΑ ΕΠΙΧ/ΣΗΣ"))</f>
      </c>
      <c r="C23" s="181"/>
      <c r="D23" s="214"/>
      <c r="E23" s="214"/>
      <c r="F23" s="214"/>
      <c r="G23" s="20"/>
      <c r="H23" s="1"/>
      <c r="I23" s="1"/>
      <c r="J23" s="2">
        <v>1</v>
      </c>
      <c r="K23" s="3" t="s">
        <v>5</v>
      </c>
      <c r="L23" s="28"/>
      <c r="M23" s="3">
        <f>Q106</f>
        <v>0</v>
      </c>
      <c r="AK23" s="9"/>
      <c r="AL23" s="9"/>
      <c r="AM23" s="9"/>
      <c r="AN23" s="9"/>
    </row>
    <row r="24" spans="1:40" ht="3" customHeight="1">
      <c r="A24" s="9"/>
      <c r="B24" s="178"/>
      <c r="C24" s="179"/>
      <c r="D24" s="179"/>
      <c r="E24" s="179"/>
      <c r="F24" s="179"/>
      <c r="G24" s="20"/>
      <c r="H24" s="1"/>
      <c r="I24" s="1"/>
      <c r="L24" s="28"/>
      <c r="AK24" s="9"/>
      <c r="AL24" s="9"/>
      <c r="AM24" s="9"/>
      <c r="AN24" s="9"/>
    </row>
    <row r="25" spans="1:40" ht="17.25" customHeight="1">
      <c r="A25" s="9"/>
      <c r="B25" s="180">
        <f>IF(N82=0,"",IF(V72=0,"",IF(V72&lt;=2,"ΑΘΡΟΙΣΜΑ ΚΥΚΛΟΥ ΕΡΓΑΣΙΩΝ ΜΗΝΩΝ ΣΕΠΤΕΜΒΡΙΟΥ ΚΑΙ ΟΚΤΩΒΡΙΟΥ 2020 ",IF(V72=3,"ΣΥΝΟΛΟ ΑΚΑΘΑΡΙΣΤΩΝ ΕΣΟΔΩΝ ΜΗΝΩΝ ΣΕΠΤΕΜΒΡΙΟΥ ΚΑΙ ΟΚΤΩΒΡΙΟΥ 2020"))))</f>
      </c>
      <c r="C25" s="181"/>
      <c r="D25" s="181"/>
      <c r="E25" s="181"/>
      <c r="F25" s="78"/>
      <c r="G25" s="20"/>
      <c r="H25" s="1"/>
      <c r="I25" s="1"/>
      <c r="K25" s="3" t="s">
        <v>6</v>
      </c>
      <c r="L25" s="28"/>
      <c r="M25" s="3">
        <f>R106</f>
        <v>0</v>
      </c>
      <c r="AK25" s="9"/>
      <c r="AL25" s="9"/>
      <c r="AM25" s="9"/>
      <c r="AN25" s="9"/>
    </row>
    <row r="26" spans="1:40" ht="3.75" customHeight="1">
      <c r="A26" s="9"/>
      <c r="B26" s="178"/>
      <c r="C26" s="179"/>
      <c r="D26" s="179"/>
      <c r="E26" s="179"/>
      <c r="F26" s="179"/>
      <c r="G26" s="20"/>
      <c r="H26" s="1"/>
      <c r="I26" s="1"/>
      <c r="L26" s="28"/>
      <c r="AK26" s="9"/>
      <c r="AL26" s="9"/>
      <c r="AM26" s="9"/>
      <c r="AN26" s="9"/>
    </row>
    <row r="27" spans="1:40" ht="17.25" customHeight="1">
      <c r="A27" s="9"/>
      <c r="B27" s="180">
        <f>IF(N83=0,"",IF(V72=1,"ΚΥΚΛΟΣ ΕΡΓΑΣΙΩΝ Γ΄ ΤΡΙΜΗΝΟΥ 2019",IF(V72=2,"ΚΥΚΛΟΣ ΕΡΓΑΣΙΩΝ ΣΕΠΤΕΜΒΡΙΟΥ 2019",IF(V72=3,"ΑΚΑΘΑΡΙΣΤΑ ΕΣΟΔΑ ΕΤΟΥΣ 2019",""))))</f>
      </c>
      <c r="C27" s="181"/>
      <c r="D27" s="181"/>
      <c r="E27" s="181"/>
      <c r="F27" s="78"/>
      <c r="G27" s="20"/>
      <c r="H27" s="1"/>
      <c r="I27" s="1"/>
      <c r="K27" s="3" t="s">
        <v>7</v>
      </c>
      <c r="L27" s="28"/>
      <c r="M27" s="3">
        <f>S106</f>
        <v>0</v>
      </c>
      <c r="AK27" s="9"/>
      <c r="AL27" s="9"/>
      <c r="AM27" s="9"/>
      <c r="AN27" s="9"/>
    </row>
    <row r="28" spans="1:40" ht="3" customHeight="1">
      <c r="A28" s="9"/>
      <c r="B28" s="178"/>
      <c r="C28" s="179"/>
      <c r="D28" s="179"/>
      <c r="E28" s="179"/>
      <c r="F28" s="179"/>
      <c r="G28" s="20"/>
      <c r="H28" s="1"/>
      <c r="I28" s="1"/>
      <c r="L28" s="28"/>
      <c r="AK28" s="9"/>
      <c r="AL28" s="9"/>
      <c r="AM28" s="9"/>
      <c r="AN28" s="9"/>
    </row>
    <row r="29" spans="1:40" ht="17.25" customHeight="1">
      <c r="A29" s="9"/>
      <c r="B29" s="180">
        <f>IF(N83=0,"",IF(V72=1,"ΚΥΚΛΟΣ ΕΡΓΑΣΙΩΝ Δ΄ ΤΡΙΜΗΝΟΥ 2019",IF(V72=2,"ΚΥΚΛΟΣ ΕΡΓΑΣΙΩΝ ΟΚΤΩΒΡΙΟΥ 2019","")))</f>
      </c>
      <c r="C29" s="181"/>
      <c r="D29" s="181"/>
      <c r="E29" s="181"/>
      <c r="F29" s="78"/>
      <c r="G29" s="20"/>
      <c r="H29" s="1"/>
      <c r="I29" s="1"/>
      <c r="K29" s="3" t="s">
        <v>8</v>
      </c>
      <c r="L29" s="28"/>
      <c r="M29" s="3">
        <f>T106</f>
        <v>0</v>
      </c>
      <c r="AK29" s="9"/>
      <c r="AL29" s="9"/>
      <c r="AM29" s="9"/>
      <c r="AN29" s="9"/>
    </row>
    <row r="30" spans="1:40" ht="3" customHeight="1">
      <c r="A30" s="9"/>
      <c r="B30" s="178"/>
      <c r="C30" s="179"/>
      <c r="D30" s="179"/>
      <c r="E30" s="179"/>
      <c r="F30" s="179"/>
      <c r="G30" s="20"/>
      <c r="H30" s="1"/>
      <c r="I30" s="1"/>
      <c r="L30" s="28"/>
      <c r="AK30" s="9"/>
      <c r="AL30" s="9"/>
      <c r="AM30" s="9"/>
      <c r="AN30" s="9"/>
    </row>
    <row r="31" spans="1:40" ht="17.25" customHeight="1">
      <c r="A31" s="9"/>
      <c r="B31" s="180">
        <f>IF(N96=0,"",IF(S98=1,"ΣΥΝΟΛΟ ΚΥΚΛΟΥ ΕΡΓΑΣΙΩΝ Α΄ ΤΡΙΜΗΝΟΥ 2020",IF(S121=1,"ΣΥΝΟΛΟ ΚΥΚΛΟΥ ΕΡΓΑΣΙΩΝ ΦΕΒΡΟΥΑΡΙΟΥ 2020",IF(R137=1,"ΑΚΑΘΑΡΙΣΤΑ ΕΣΟΔΑ ΜΗΝΟΣ ΦΕΒΡΟΥΑΡΙΟΥ 2020",""))))</f>
      </c>
      <c r="C31" s="181"/>
      <c r="D31" s="181"/>
      <c r="E31" s="181"/>
      <c r="F31" s="78"/>
      <c r="G31" s="20"/>
      <c r="H31" s="1"/>
      <c r="I31" s="1"/>
      <c r="L31" s="28"/>
      <c r="AK31" s="9"/>
      <c r="AL31" s="9"/>
      <c r="AM31" s="9"/>
      <c r="AN31" s="9"/>
    </row>
    <row r="32" spans="1:40" ht="3.75" customHeight="1">
      <c r="A32" s="9"/>
      <c r="B32" s="178"/>
      <c r="C32" s="179"/>
      <c r="D32" s="179"/>
      <c r="E32" s="179"/>
      <c r="F32" s="179"/>
      <c r="G32" s="20"/>
      <c r="H32" s="1"/>
      <c r="I32" s="1"/>
      <c r="L32" s="28"/>
      <c r="AK32" s="9"/>
      <c r="AL32" s="9"/>
      <c r="AM32" s="9"/>
      <c r="AN32" s="9"/>
    </row>
    <row r="33" spans="1:40" ht="17.25" customHeight="1">
      <c r="A33" s="9"/>
      <c r="B33" s="180">
        <f>IF(N96=0,"",IF(B31="","",IF(F31="","",IF(S103=1,"",IF(R103+R127+S103+S127+R140&gt;0,"",IF(V72=1,"ΚΥΚΛΟΣ ΕΡΓΑΣΙΩΝ Γ΄ ΤΡΙΜΗΝΟΥ 2020",IF(V72=3,"ΑΚΑΘΑΡΙΣΤΑ ΕΣΟΔΑ ΙΟΥΛΙΟΥ 2020","ΚΥΚΛΟΣ ΕΡΓΑΣΙΩΝ ΙΟΥΛΙΟΥ 2020")))))))</f>
      </c>
      <c r="C33" s="181"/>
      <c r="D33" s="181"/>
      <c r="E33" s="181"/>
      <c r="F33" s="78"/>
      <c r="G33" s="20"/>
      <c r="H33" s="1"/>
      <c r="I33" s="1"/>
      <c r="J33" s="2">
        <v>2</v>
      </c>
      <c r="K33" s="3" t="s">
        <v>5</v>
      </c>
      <c r="L33" s="28"/>
      <c r="M33" s="3">
        <f>Q130</f>
        <v>0</v>
      </c>
      <c r="AK33" s="9"/>
      <c r="AL33" s="9"/>
      <c r="AM33" s="9"/>
      <c r="AN33" s="9"/>
    </row>
    <row r="34" spans="1:40" ht="3" customHeight="1">
      <c r="A34" s="9"/>
      <c r="B34" s="178"/>
      <c r="C34" s="179"/>
      <c r="D34" s="179"/>
      <c r="E34" s="179"/>
      <c r="F34" s="179"/>
      <c r="G34" s="20"/>
      <c r="H34" s="1"/>
      <c r="I34" s="1"/>
      <c r="L34" s="28"/>
      <c r="AK34" s="9"/>
      <c r="AL34" s="9"/>
      <c r="AM34" s="9"/>
      <c r="AN34" s="9"/>
    </row>
    <row r="35" spans="1:40" ht="16.5" customHeight="1">
      <c r="A35" s="9"/>
      <c r="B35" s="180">
        <f>IF(N96=0,"",IF(B31="","",IF(F31="","",IF(S103=1,"",IF(V72=1,"",IF(R103+R127+S103+S127+R140&gt;0,"",IF(V72=3,"ΑΚΑΘΑΡΙΣΤΑ ΕΣΟΔΑ ΑΥΓΟΥΣΤΟΥ 2020","ΚΥΚΛΟΣ ΕΡΓΑΣΙΩΝ ΑΥΓΟΥΣΤΟΥ 2020")))))))</f>
      </c>
      <c r="C35" s="181"/>
      <c r="D35" s="181"/>
      <c r="E35" s="181"/>
      <c r="F35" s="78"/>
      <c r="G35" s="20"/>
      <c r="H35" s="1"/>
      <c r="I35" s="1"/>
      <c r="K35" s="3" t="s">
        <v>6</v>
      </c>
      <c r="L35" s="28"/>
      <c r="M35" s="3">
        <f>R130</f>
        <v>0</v>
      </c>
      <c r="AK35" s="9"/>
      <c r="AL35" s="9"/>
      <c r="AM35" s="9"/>
      <c r="AN35" s="9"/>
    </row>
    <row r="36" spans="1:40" ht="3" customHeight="1">
      <c r="A36" s="9"/>
      <c r="B36" s="141"/>
      <c r="C36" s="91"/>
      <c r="D36" s="91"/>
      <c r="E36" s="91"/>
      <c r="F36" s="91"/>
      <c r="G36" s="20"/>
      <c r="H36" s="1"/>
      <c r="I36" s="1"/>
      <c r="L36" s="28"/>
      <c r="AK36" s="9"/>
      <c r="AL36" s="9"/>
      <c r="AM36" s="9"/>
      <c r="AN36" s="9"/>
    </row>
    <row r="37" spans="1:40" ht="18" customHeight="1">
      <c r="A37" s="9"/>
      <c r="B37" s="180">
        <f>IF(N104=0,"",IF(V72=0,"",IF(W99=1,"",IF(V72=3,"ΣΥΝΟΛΙΚΑ ΑΚΑΘΑΡΙΣΤΑ ΕΣΟΔΑ (ΚΩΔ. 047 ΔΗΛΩΣΗΣ Ε3) ΕΤΟΥΣ 2019","ΣΥΝΟΛΙΚΟΣ ΚΥΚΛΟΣ ΕΡΓΑΣΙΩΝ Φ.Π.Α. (ΚΩΔ. 312) ΕΤΟΥΣ 2019"))))</f>
      </c>
      <c r="C37" s="181"/>
      <c r="D37" s="181"/>
      <c r="E37" s="181"/>
      <c r="F37" s="78"/>
      <c r="G37" s="20"/>
      <c r="H37" s="1"/>
      <c r="I37" s="1"/>
      <c r="K37" s="3" t="s">
        <v>7</v>
      </c>
      <c r="L37" s="28"/>
      <c r="M37" s="3">
        <f>S130</f>
        <v>0</v>
      </c>
      <c r="AK37" s="9"/>
      <c r="AL37" s="9"/>
      <c r="AM37" s="9"/>
      <c r="AN37" s="9"/>
    </row>
    <row r="38" spans="1:40" ht="3.75" customHeight="1">
      <c r="A38" s="9"/>
      <c r="B38" s="210"/>
      <c r="C38" s="211"/>
      <c r="D38" s="211"/>
      <c r="E38" s="211"/>
      <c r="F38" s="211"/>
      <c r="G38" s="20"/>
      <c r="H38" s="1"/>
      <c r="I38" s="1"/>
      <c r="L38" s="28"/>
      <c r="AK38" s="9"/>
      <c r="AL38" s="9"/>
      <c r="AM38" s="9"/>
      <c r="AN38" s="9"/>
    </row>
    <row r="39" spans="1:40" ht="18" customHeight="1">
      <c r="A39" s="9"/>
      <c r="B39" s="180">
        <f>IF(W99=1,"",IF(N105=0,"",IF(V72=0,"",IF(V72=3,"ΣΥΝΟΛΟ ΕΞΟΔΩΝ (ΚΩΔ. 580 ΜΕΙΟΝ 581 ΚΑΙ ΕΝΟΙΚΙΑ  Ε3) ΕΤΟΥΣ 2019","ΣΥΝΟΛΟ ΦΟΡΟΛΟΓΗΤΕΩΝ ΕΙΣΡΟΩΝ Φ.Π.Α. (ΚΩΔ. 367) ΕΤΟΥΣ 2019"))))</f>
      </c>
      <c r="C39" s="181"/>
      <c r="D39" s="181"/>
      <c r="E39" s="181"/>
      <c r="F39" s="78"/>
      <c r="G39" s="20"/>
      <c r="H39" s="1"/>
      <c r="I39" s="1"/>
      <c r="K39" s="3" t="s">
        <v>8</v>
      </c>
      <c r="L39" s="28"/>
      <c r="M39" s="3">
        <f>T130</f>
        <v>0</v>
      </c>
      <c r="AK39" s="9"/>
      <c r="AL39" s="9"/>
      <c r="AM39" s="9"/>
      <c r="AN39" s="9"/>
    </row>
    <row r="40" spans="1:40" ht="3.75" customHeight="1">
      <c r="A40" s="9"/>
      <c r="B40" s="210"/>
      <c r="C40" s="211"/>
      <c r="D40" s="211"/>
      <c r="E40" s="211"/>
      <c r="F40" s="211"/>
      <c r="G40" s="20"/>
      <c r="H40" s="1"/>
      <c r="I40" s="1"/>
      <c r="L40" s="28"/>
      <c r="AK40" s="9"/>
      <c r="AL40" s="9"/>
      <c r="AM40" s="9"/>
      <c r="AN40" s="9"/>
    </row>
    <row r="41" spans="1:40" ht="18" customHeight="1">
      <c r="A41" s="9"/>
      <c r="B41" s="207">
        <f>IF(W99=1,"",IF(N106=0,"",IF(V72=0,"","ΑΘΡΟΙΣΜΑ ΑΡΙΘΜΟΥ ΕΡΓΑΖ/ΝΩΝ ΣΕ ΑΝΑΣΤΟΛΗ ΣΤΟ ΕΡΓΑΝΗ ΤΗΝ 1/9/2020 ΚΑΙ 1/10/2020")))</f>
      </c>
      <c r="C41" s="208"/>
      <c r="D41" s="208"/>
      <c r="E41" s="208"/>
      <c r="F41" s="79"/>
      <c r="G41" s="20"/>
      <c r="H41" s="1"/>
      <c r="I41" s="1"/>
      <c r="AK41" s="9"/>
      <c r="AL41" s="9"/>
      <c r="AM41" s="9"/>
      <c r="AN41" s="9"/>
    </row>
    <row r="42" spans="1:40" ht="3" customHeight="1">
      <c r="A42" s="9"/>
      <c r="B42" s="210"/>
      <c r="C42" s="211"/>
      <c r="D42" s="211"/>
      <c r="E42" s="211"/>
      <c r="F42" s="211"/>
      <c r="G42" s="20"/>
      <c r="H42" s="1"/>
      <c r="I42" s="1"/>
      <c r="AK42" s="9"/>
      <c r="AL42" s="9"/>
      <c r="AM42" s="9"/>
      <c r="AN42" s="9"/>
    </row>
    <row r="43" spans="1:40" ht="5.25" customHeight="1">
      <c r="A43" s="9"/>
      <c r="B43" s="22"/>
      <c r="C43" s="23"/>
      <c r="D43" s="23"/>
      <c r="E43" s="24"/>
      <c r="F43" s="23"/>
      <c r="G43" s="25"/>
      <c r="H43" s="1"/>
      <c r="I43" s="1"/>
      <c r="AK43" s="9"/>
      <c r="AL43" s="9"/>
      <c r="AM43" s="9"/>
      <c r="AN43" s="9"/>
    </row>
    <row r="44" spans="1:40" ht="9.75" customHeight="1">
      <c r="A44" s="9"/>
      <c r="B44" s="209"/>
      <c r="C44" s="209"/>
      <c r="D44" s="209"/>
      <c r="E44" s="209"/>
      <c r="F44" s="209"/>
      <c r="G44" s="1"/>
      <c r="H44" s="1"/>
      <c r="I44" s="1"/>
      <c r="AK44" s="9"/>
      <c r="AL44" s="9"/>
      <c r="AM44" s="9"/>
      <c r="AN44" s="9"/>
    </row>
    <row r="45" spans="1:40" ht="59.25" customHeight="1">
      <c r="A45" s="9"/>
      <c r="B45" s="200">
        <f>IF(Y84=1,Z84,IF(Y85=1,Z85,IF(Y86=1,Z86,IF(Y87=1,Z87,IF(N104=1," Η ΕΠΙΧΕΙΡΗΣΗ ΔΙΚΑΙΟΥΤΑΙ ΕΠΙΣΤΡΕΠΤΕΑ ΠΡΟΚΑΤΑΒΟΛΗ ΑΝΕΞΑΡΤΗΤΩΣ ΗΜΕΡΟΜΗΝΙΑΣ ΕΝΑΡΞΗΣ ΕΡΓΑΣΙΩΝ (Εφόσον πληροί και τις προϋποθέσεις των παραγράφων 2α, 2β, 2γ, 2δ, 2στ και 3 του άρθρου 3 της ΓΔΟΥ 281/14.11.2020)","")))))</f>
      </c>
      <c r="C45" s="201"/>
      <c r="D45" s="201"/>
      <c r="E45" s="201"/>
      <c r="F45" s="201"/>
      <c r="G45" s="202"/>
      <c r="H45" s="1"/>
      <c r="I45" s="1"/>
      <c r="AK45" s="9"/>
      <c r="AL45" s="9"/>
      <c r="AM45" s="9"/>
      <c r="AN45" s="9"/>
    </row>
    <row r="46" spans="1:40" ht="8.25" customHeight="1">
      <c r="A46" s="9"/>
      <c r="B46" s="71"/>
      <c r="C46" s="71"/>
      <c r="D46" s="71"/>
      <c r="E46" s="72"/>
      <c r="F46" s="71"/>
      <c r="G46" s="71"/>
      <c r="H46" s="71"/>
      <c r="I46" s="1"/>
      <c r="AK46" s="9"/>
      <c r="AL46" s="9"/>
      <c r="AM46" s="9"/>
      <c r="AN46" s="9"/>
    </row>
    <row r="47" spans="1:40" ht="18.75" customHeight="1">
      <c r="A47" s="9"/>
      <c r="B47" s="206">
        <f>IF(O104=0,"",IF(V72=3,"ΑΚΑΘΑΡΙΣΤΑ ΕΣΟΔΑ ΑΝΑΦΟΡΑΣ","ΚΥΚΛΟΣ ΕΡΓΑΣΙΩΝ ΑΝΑΦΟΡΑΣ"))</f>
      </c>
      <c r="C47" s="206"/>
      <c r="D47" s="206"/>
      <c r="E47" s="206"/>
      <c r="F47" s="80">
        <f>IF(O104=0,"",V148)</f>
      </c>
      <c r="G47" s="1"/>
      <c r="H47" s="1"/>
      <c r="I47" s="1"/>
      <c r="J47" s="2">
        <v>3</v>
      </c>
      <c r="K47" s="3" t="s">
        <v>22</v>
      </c>
      <c r="L47" s="28"/>
      <c r="M47" s="3">
        <f>Q143</f>
        <v>0</v>
      </c>
      <c r="AK47" s="9"/>
      <c r="AL47" s="9"/>
      <c r="AM47" s="9"/>
      <c r="AN47" s="9"/>
    </row>
    <row r="48" spans="1:40" ht="18.75" customHeight="1">
      <c r="A48" s="9"/>
      <c r="B48" s="185">
        <f>IF(O104=0,"",IF(V72=3,"ΠΟΣΟΣΤΟ ΜΕΙΩΣΗΣ ΑΚΑΘΑΡΙΣΤΩΝ ΕΣΟΔΩΝ","ΠΟΣΟΣΤΟ ΜΕΙΩΣΗΣ ΚΥΚΛΟΥ ΕΡΓΑΣΙΩΝ"))</f>
      </c>
      <c r="C48" s="186"/>
      <c r="D48" s="186"/>
      <c r="E48" s="187"/>
      <c r="F48" s="82">
        <f>IF(O104=0,"",Y147)</f>
      </c>
      <c r="G48" s="1"/>
      <c r="H48" s="1"/>
      <c r="I48" s="1"/>
      <c r="L48" s="28"/>
      <c r="AK48" s="9"/>
      <c r="AL48" s="9"/>
      <c r="AM48" s="9"/>
      <c r="AN48" s="9"/>
    </row>
    <row r="49" spans="1:40" ht="18.75" customHeight="1">
      <c r="A49" s="9"/>
      <c r="B49" s="185">
        <f>IF(N107=0,"",IF(V72=3,"ΠΟΣΟΣΤΙΑΙΑ ΔΙΑΦΟΡΑ ΕΣΟΔΩΝ - ΕΞΟΔΩΝ","ΠΟΣΟΣΤΙΑΙΑ ΔΙΑΦΟΡΑ ΕΚΡΟΩΝ - ΕΙΣΡΟΩΝ"))</f>
      </c>
      <c r="C49" s="186"/>
      <c r="D49" s="186"/>
      <c r="E49" s="187"/>
      <c r="F49" s="81">
        <f>IF(N107=0,"",AB148)</f>
      </c>
      <c r="G49" s="1"/>
      <c r="H49" s="1"/>
      <c r="I49" s="1"/>
      <c r="K49" s="3" t="s">
        <v>23</v>
      </c>
      <c r="L49" s="28"/>
      <c r="M49" s="3">
        <f>R143</f>
        <v>0</v>
      </c>
      <c r="Q49" s="34"/>
      <c r="AK49" s="9"/>
      <c r="AL49" s="9"/>
      <c r="AM49" s="9"/>
      <c r="AN49" s="9"/>
    </row>
    <row r="50" spans="1:40" ht="18.75" customHeight="1">
      <c r="A50" s="9"/>
      <c r="B50" s="185">
        <f>IF(N107=0,"","ΔΙΚΑΙΟΥΜΕΝΟ ΠΟΣΟ ΕΝΙΣΧΥΣΗΣ ΒΑΣΕΙ ΑΡΘΡΟΥ 4 της ΓΔΟΥ 281/14.11.2020")</f>
      </c>
      <c r="C50" s="186"/>
      <c r="D50" s="186"/>
      <c r="E50" s="187"/>
      <c r="F50" s="80">
        <f>IF(N107=0,"",AH148)</f>
      </c>
      <c r="G50" s="1"/>
      <c r="H50" s="1"/>
      <c r="I50" s="1"/>
      <c r="L50" s="28"/>
      <c r="Q50" s="34"/>
      <c r="AK50" s="9"/>
      <c r="AL50" s="9"/>
      <c r="AM50" s="9"/>
      <c r="AN50" s="9"/>
    </row>
    <row r="51" spans="1:40" ht="18.75" customHeight="1">
      <c r="A51" s="9"/>
      <c r="B51" s="185">
        <f>IF(N107=0,"","ΕΛΑΧΙΣΤΟ ΔΙΚΑΙΟΥΜΕΝΟ ΠΟΣΟ ΕΝΙΣΧΥΣΗΣ")</f>
      </c>
      <c r="C51" s="186"/>
      <c r="D51" s="186"/>
      <c r="E51" s="187"/>
      <c r="F51" s="80">
        <f>IF(N107=0,"",AI148)</f>
      </c>
      <c r="G51" s="1"/>
      <c r="H51" s="1"/>
      <c r="I51" s="1"/>
      <c r="K51" s="3" t="s">
        <v>77</v>
      </c>
      <c r="L51" s="28"/>
      <c r="M51" s="3">
        <f>S143</f>
        <v>0</v>
      </c>
      <c r="AK51" s="9"/>
      <c r="AL51" s="9"/>
      <c r="AM51" s="9"/>
      <c r="AN51" s="9"/>
    </row>
    <row r="52" spans="1:40" ht="25.5" customHeight="1">
      <c r="A52" s="9"/>
      <c r="B52" s="194">
        <f>IF(N107=0,"","ΤΕΛΙΚΟ ΠΟΣΟ ΥΨΟΥΣ ΕΝΙΣΧΥΣΗΣ")</f>
      </c>
      <c r="C52" s="195"/>
      <c r="D52" s="195"/>
      <c r="E52" s="196"/>
      <c r="F52" s="83">
        <f>IF(N107=0,"",IF(AJ148&gt;AB95,AB95,AJ148))</f>
      </c>
      <c r="G52" s="1"/>
      <c r="H52" s="1"/>
      <c r="I52" s="1"/>
      <c r="AK52" s="9"/>
      <c r="AL52" s="9"/>
      <c r="AM52" s="9"/>
      <c r="AN52" s="9"/>
    </row>
    <row r="53" spans="1:40" ht="34.5" customHeight="1">
      <c r="A53" s="9"/>
      <c r="B53" s="215">
        <f>IF(N107=0,"",IF(F52=0,"",IF(F10="","",IF(F10=0,"Το ήμισυ (50%) του ποσού της ενίσχυσης δεν επιστρέφεται.","Το ήμισυ (50%) του ποσού της ενίσχυσης δεν επιστρέφεται υπό τον όρο διατήρησης του επιπέδου απασχόλησης έως την 31η Μαρτίου 2020, σύμφωνα με τα προβλεπόμενα στην παρ. 8 του άρθρου 9 της ΓΔΟΥ 281/2020."))))</f>
      </c>
      <c r="C53" s="216"/>
      <c r="D53" s="216"/>
      <c r="E53" s="216"/>
      <c r="F53" s="217"/>
      <c r="G53" s="71"/>
      <c r="H53" s="1"/>
      <c r="I53" s="1"/>
      <c r="AK53" s="9"/>
      <c r="AL53" s="9"/>
      <c r="AM53" s="9"/>
      <c r="AN53" s="9"/>
    </row>
    <row r="54" spans="1:40" ht="18" customHeight="1">
      <c r="A54" s="9"/>
      <c r="B54" s="192">
        <f>IF(N107=0,"","ΠΑΡΑΤΗΡΗΣΕΙΣ")</f>
      </c>
      <c r="C54" s="192"/>
      <c r="D54" s="192"/>
      <c r="E54" s="192"/>
      <c r="F54" s="192"/>
      <c r="G54" s="1"/>
      <c r="H54" s="1"/>
      <c r="I54" s="1"/>
      <c r="AK54" s="9"/>
      <c r="AL54" s="9"/>
      <c r="AM54" s="9"/>
      <c r="AN54" s="9"/>
    </row>
    <row r="55" spans="1:40" ht="46.5" customHeight="1">
      <c r="A55" s="9"/>
      <c r="B55" s="183">
        <f>IF(N107=0,"","Εφόσον η επιχείρηση λαμβάνει ενίσχυση δυνάμει του Προσωρινού Πλαισίου ή του Κανονισμού de minimis μπορεί το ύψος της ενίσχυσης να περιοριστεί σύμφωνα με τα προβλεπόμενα στην παραγρ. 3 του άρθρου 4 και στο άρθρο 5 της ΓΔΟΥ 281/2020")</f>
      </c>
      <c r="C55" s="183"/>
      <c r="D55" s="183"/>
      <c r="E55" s="183"/>
      <c r="F55" s="183"/>
      <c r="G55" s="1"/>
      <c r="H55" s="1"/>
      <c r="I55" s="1"/>
      <c r="O55" s="2"/>
      <c r="AK55" s="9"/>
      <c r="AL55" s="9"/>
      <c r="AM55" s="9"/>
      <c r="AN55" s="9"/>
    </row>
    <row r="56" spans="1:40" ht="17.25" customHeight="1">
      <c r="A56" s="9"/>
      <c r="B56" s="197">
        <f>IF(N107=0,"",Y95)</f>
      </c>
      <c r="C56" s="197"/>
      <c r="D56" s="197"/>
      <c r="E56" s="189">
        <f>IF(N109=0,"",AB95)</f>
      </c>
      <c r="F56" s="189"/>
      <c r="G56" s="1"/>
      <c r="H56" s="1"/>
      <c r="I56" s="1"/>
      <c r="O56" s="2"/>
      <c r="AK56" s="9"/>
      <c r="AL56" s="9"/>
      <c r="AM56" s="9"/>
      <c r="AN56" s="9"/>
    </row>
    <row r="57" spans="1:40" ht="17.25" customHeight="1">
      <c r="A57" s="9"/>
      <c r="B57" s="193">
        <f>IF(N107=0,"","για τομέα αλιείας και υδατ/ργειας  120.000,00 € και πρωτογενούς γεωργικής παραγ.  100.000,00 €")</f>
      </c>
      <c r="C57" s="193"/>
      <c r="D57" s="193"/>
      <c r="E57" s="193"/>
      <c r="F57" s="193"/>
      <c r="G57" s="1"/>
      <c r="H57" s="1"/>
      <c r="I57" s="1"/>
      <c r="O57" s="2"/>
      <c r="AK57" s="9"/>
      <c r="AL57" s="9"/>
      <c r="AM57" s="9"/>
      <c r="AN57" s="9"/>
    </row>
    <row r="58" spans="1:40" ht="19.5" customHeight="1">
      <c r="A58" s="9"/>
      <c r="B58" s="188">
        <f>IF(N107=0,"","Ανώτατο ύψος ενίσχυσης δυνάμει του Κανονισμού de minimis 200.000 €")</f>
      </c>
      <c r="C58" s="188"/>
      <c r="D58" s="188"/>
      <c r="E58" s="189">
        <f>IF(N109=0,"",200000)</f>
      </c>
      <c r="F58" s="189"/>
      <c r="G58" s="1"/>
      <c r="H58" s="1"/>
      <c r="I58" s="1"/>
      <c r="O58" s="2"/>
      <c r="AK58" s="9"/>
      <c r="AL58" s="9"/>
      <c r="AM58" s="9"/>
      <c r="AN58" s="9"/>
    </row>
    <row r="59" spans="1:40" ht="19.5" customHeight="1">
      <c r="A59" s="9"/>
      <c r="B59" s="183">
        <f>IF(N107=0,"","για τομέα οδικών εμπορευματικών μεταφορών για λογ. τρίτων  (ΚΑΔ 49.41)    100.000,00 €")</f>
      </c>
      <c r="C59" s="183"/>
      <c r="D59" s="183"/>
      <c r="E59" s="183"/>
      <c r="F59" s="183"/>
      <c r="G59" s="1"/>
      <c r="H59" s="1"/>
      <c r="I59" s="1"/>
      <c r="O59" s="2"/>
      <c r="AK59" s="9"/>
      <c r="AL59" s="9"/>
      <c r="AM59" s="9"/>
      <c r="AN59" s="9"/>
    </row>
    <row r="60" spans="1:40" ht="20.25" customHeight="1">
      <c r="A60" s="9"/>
      <c r="B60" s="184">
        <f>IF(N107=0,"","Η επιχείρηση υποχρεούται να τηρεί τις υποχρεώσεις του άρθρου 10 της ΓΔΟΥ 281/14.11.2020")</f>
      </c>
      <c r="C60" s="184"/>
      <c r="D60" s="184"/>
      <c r="E60" s="184"/>
      <c r="F60" s="184"/>
      <c r="G60" s="1"/>
      <c r="H60" s="1"/>
      <c r="I60" s="1"/>
      <c r="O60" s="2"/>
      <c r="AK60" s="9"/>
      <c r="AL60" s="9"/>
      <c r="AM60" s="9"/>
      <c r="AN60" s="9"/>
    </row>
    <row r="61" spans="1:40" ht="8.25" customHeight="1">
      <c r="A61" s="9"/>
      <c r="B61" s="191"/>
      <c r="C61" s="191"/>
      <c r="D61" s="191"/>
      <c r="E61" s="191"/>
      <c r="F61" s="191"/>
      <c r="G61" s="1"/>
      <c r="H61" s="1"/>
      <c r="I61" s="1"/>
      <c r="O61" s="2"/>
      <c r="AK61" s="9"/>
      <c r="AL61" s="9"/>
      <c r="AM61" s="9"/>
      <c r="AN61" s="9"/>
    </row>
    <row r="62" spans="1:40" ht="13.5" customHeight="1">
      <c r="A62" s="9"/>
      <c r="B62" s="1"/>
      <c r="C62" s="1"/>
      <c r="D62" s="1"/>
      <c r="E62" s="190" t="s">
        <v>15</v>
      </c>
      <c r="F62" s="190"/>
      <c r="G62" s="1"/>
      <c r="H62" s="1"/>
      <c r="I62" s="1"/>
      <c r="O62" s="2"/>
      <c r="AK62" s="9"/>
      <c r="AL62" s="9"/>
      <c r="AM62" s="9"/>
      <c r="AN62" s="9"/>
    </row>
    <row r="63" spans="1:40" ht="12.75" customHeight="1">
      <c r="A63" s="9"/>
      <c r="B63" s="1"/>
      <c r="C63" s="1"/>
      <c r="D63" s="1"/>
      <c r="E63" s="190" t="s">
        <v>16</v>
      </c>
      <c r="F63" s="190"/>
      <c r="G63" s="1"/>
      <c r="H63" s="1"/>
      <c r="I63" s="1"/>
      <c r="K63" s="2"/>
      <c r="N63" s="26"/>
      <c r="O63" s="2"/>
      <c r="AK63" s="9"/>
      <c r="AL63" s="9"/>
      <c r="AM63" s="9"/>
      <c r="AN63" s="9"/>
    </row>
    <row r="64" spans="1:40" ht="11.25" customHeight="1">
      <c r="A64" s="9"/>
      <c r="B64" s="1"/>
      <c r="C64" s="1"/>
      <c r="D64" s="1"/>
      <c r="E64" s="182" t="s">
        <v>17</v>
      </c>
      <c r="F64" s="182"/>
      <c r="G64" s="1"/>
      <c r="H64" s="1"/>
      <c r="I64" s="1"/>
      <c r="K64" s="2"/>
      <c r="N64" s="26"/>
      <c r="O64" s="2"/>
      <c r="AK64" s="9"/>
      <c r="AL64" s="9"/>
      <c r="AM64" s="9"/>
      <c r="AN64" s="9"/>
    </row>
    <row r="65" spans="1:40" ht="21.75" customHeight="1">
      <c r="A65" s="9"/>
      <c r="B65" s="1"/>
      <c r="C65" s="1"/>
      <c r="D65" s="1"/>
      <c r="E65" s="27"/>
      <c r="F65" s="1"/>
      <c r="G65" s="1"/>
      <c r="H65" s="1"/>
      <c r="I65" s="1"/>
      <c r="K65" s="2"/>
      <c r="L65" s="28"/>
      <c r="M65" s="28"/>
      <c r="N65" s="29"/>
      <c r="O65" s="2"/>
      <c r="P65" s="2">
        <f>IF(V65=0,0,1)</f>
        <v>0</v>
      </c>
      <c r="R65" s="8"/>
      <c r="S65" s="8"/>
      <c r="V65" s="30">
        <f>IF(D8=W65,1,IF(D8=W66,2,0))</f>
        <v>0</v>
      </c>
      <c r="W65" s="5" t="s">
        <v>19</v>
      </c>
      <c r="AK65" s="9"/>
      <c r="AL65" s="9"/>
      <c r="AM65" s="9"/>
      <c r="AN65" s="9"/>
    </row>
    <row r="66" spans="1:40" ht="21.75" customHeight="1">
      <c r="A66" s="9"/>
      <c r="B66" s="1"/>
      <c r="C66" s="1"/>
      <c r="D66" s="1"/>
      <c r="E66" s="27"/>
      <c r="F66" s="1"/>
      <c r="G66" s="1"/>
      <c r="H66" s="1"/>
      <c r="I66" s="1"/>
      <c r="J66" s="31"/>
      <c r="K66" s="31"/>
      <c r="L66" s="28"/>
      <c r="M66" s="28">
        <f>IF(D8="",0,1)</f>
        <v>0</v>
      </c>
      <c r="N66" s="29"/>
      <c r="O66" s="2"/>
      <c r="P66" s="2">
        <f>IF(F10&gt;1000,1,0)</f>
        <v>0</v>
      </c>
      <c r="R66" s="8"/>
      <c r="S66" s="8"/>
      <c r="V66" s="4"/>
      <c r="W66" s="5" t="s">
        <v>73</v>
      </c>
      <c r="AK66" s="9"/>
      <c r="AL66" s="9"/>
      <c r="AM66" s="9"/>
      <c r="AN66" s="9"/>
    </row>
    <row r="67" spans="1:40" ht="21.75" customHeight="1">
      <c r="A67" s="9"/>
      <c r="B67" s="1"/>
      <c r="C67" s="1"/>
      <c r="D67" s="1"/>
      <c r="E67" s="27"/>
      <c r="F67" s="1"/>
      <c r="G67" s="1"/>
      <c r="H67" s="1"/>
      <c r="I67" s="1"/>
      <c r="J67" s="32">
        <f>IF(B25="",1,IF(F25="",0,1))</f>
        <v>1</v>
      </c>
      <c r="L67" s="28"/>
      <c r="M67" s="28">
        <f>IF(F10="",0,1)</f>
        <v>0</v>
      </c>
      <c r="N67" s="29">
        <f>M66*M67</f>
        <v>0</v>
      </c>
      <c r="O67" s="2"/>
      <c r="P67" s="33">
        <f>P65*P66</f>
        <v>0</v>
      </c>
      <c r="Q67" s="34" t="s">
        <v>20</v>
      </c>
      <c r="AK67" s="9"/>
      <c r="AL67" s="9"/>
      <c r="AM67" s="9"/>
      <c r="AN67" s="9"/>
    </row>
    <row r="68" spans="1:40" ht="21.75" customHeight="1">
      <c r="A68" s="9"/>
      <c r="B68" s="1"/>
      <c r="C68" s="1"/>
      <c r="D68" s="1"/>
      <c r="E68" s="27"/>
      <c r="F68" s="1"/>
      <c r="G68" s="1"/>
      <c r="H68" s="1"/>
      <c r="I68" s="1"/>
      <c r="J68" s="32"/>
      <c r="L68" s="28"/>
      <c r="M68" s="28"/>
      <c r="N68" s="29"/>
      <c r="O68" s="2"/>
      <c r="Q68" s="28"/>
      <c r="W68" s="7" t="s">
        <v>9</v>
      </c>
      <c r="AK68" s="9"/>
      <c r="AL68" s="9"/>
      <c r="AM68" s="9"/>
      <c r="AN68" s="9"/>
    </row>
    <row r="69" spans="1:40" ht="21.75" customHeight="1">
      <c r="A69" s="9"/>
      <c r="B69" s="1"/>
      <c r="C69" s="1"/>
      <c r="D69" s="1"/>
      <c r="E69" s="27"/>
      <c r="F69" s="1"/>
      <c r="G69" s="1"/>
      <c r="H69" s="1"/>
      <c r="I69" s="1"/>
      <c r="J69" s="32">
        <f>IF(B27="",1,IF(F27="",0,1))</f>
        <v>1</v>
      </c>
      <c r="L69" s="28"/>
      <c r="M69" s="28"/>
      <c r="N69" s="29"/>
      <c r="O69" s="2">
        <f>IF(P71=1,1,0)</f>
        <v>0</v>
      </c>
      <c r="P69" s="2">
        <f>IF(V65&gt;0,1,0)</f>
        <v>0</v>
      </c>
      <c r="Q69" s="146">
        <f>P71</f>
        <v>0</v>
      </c>
      <c r="W69" s="7" t="s">
        <v>10</v>
      </c>
      <c r="AK69" s="9"/>
      <c r="AL69" s="9"/>
      <c r="AM69" s="9"/>
      <c r="AN69" s="9"/>
    </row>
    <row r="70" spans="1:40" ht="21.75" customHeight="1">
      <c r="A70" s="9"/>
      <c r="B70" s="1"/>
      <c r="C70" s="1"/>
      <c r="D70" s="1"/>
      <c r="E70" s="27"/>
      <c r="F70" s="1"/>
      <c r="G70" s="1"/>
      <c r="H70" s="1"/>
      <c r="I70" s="1"/>
      <c r="J70" s="32"/>
      <c r="L70" s="89">
        <f>IF(D8=W65,0,1)</f>
        <v>1</v>
      </c>
      <c r="M70" s="87">
        <f aca="true" t="shared" si="0" ref="M70:M75">L70</f>
        <v>1</v>
      </c>
      <c r="N70" s="29"/>
      <c r="O70" s="2">
        <v>1</v>
      </c>
      <c r="P70" s="2">
        <f>IF(F10="",0,1)</f>
        <v>0</v>
      </c>
      <c r="Q70" s="146">
        <f>IF(V65&lt;&gt;1,0,IF(F10&gt;0,0,1))</f>
        <v>0</v>
      </c>
      <c r="AK70" s="9"/>
      <c r="AL70" s="9"/>
      <c r="AM70" s="9"/>
      <c r="AN70" s="9"/>
    </row>
    <row r="71" spans="1:40" ht="21.75" customHeight="1">
      <c r="A71" s="9"/>
      <c r="B71" s="1"/>
      <c r="C71" s="1"/>
      <c r="D71" s="1"/>
      <c r="E71" s="27"/>
      <c r="F71" s="1"/>
      <c r="G71" s="1"/>
      <c r="H71" s="1"/>
      <c r="I71" s="1"/>
      <c r="J71" s="32">
        <f>IF(B29="",1,IF(F29="",0,1))</f>
        <v>1</v>
      </c>
      <c r="L71" s="90">
        <f>IF(M70=1,1,IF(F10=0,0,IF(F10&gt;1000,0,1)))</f>
        <v>1</v>
      </c>
      <c r="M71" s="88">
        <f t="shared" si="0"/>
        <v>1</v>
      </c>
      <c r="N71" s="31"/>
      <c r="O71" s="31">
        <f>O69*O70</f>
        <v>0</v>
      </c>
      <c r="P71" s="31">
        <f>IF(P67=1,0,P69*P70)</f>
        <v>0</v>
      </c>
      <c r="Q71" s="147">
        <f>IF(P67=1,0,Q69*Q70)</f>
        <v>0</v>
      </c>
      <c r="AK71" s="9"/>
      <c r="AL71" s="9"/>
      <c r="AM71" s="9"/>
      <c r="AN71" s="9"/>
    </row>
    <row r="72" spans="1:40" ht="21.75" customHeight="1">
      <c r="A72" s="9"/>
      <c r="B72" s="1"/>
      <c r="C72" s="1"/>
      <c r="D72" s="1"/>
      <c r="E72" s="27"/>
      <c r="F72" s="1"/>
      <c r="G72" s="1"/>
      <c r="H72" s="1"/>
      <c r="I72" s="1"/>
      <c r="J72" s="32"/>
      <c r="L72" s="90">
        <f>IF(M71=1,1,IF(F12=W68,1,0))</f>
        <v>1</v>
      </c>
      <c r="M72" s="88">
        <f t="shared" si="0"/>
        <v>1</v>
      </c>
      <c r="N72" s="31"/>
      <c r="O72" s="2"/>
      <c r="P72" s="2">
        <f>IF(Q71=0,1,IF(F12="",0,1))</f>
        <v>1</v>
      </c>
      <c r="Q72" s="28"/>
      <c r="V72" s="30">
        <f>IF(D23=W72,1,IF(D23=W73,2,IF(D23=W74,3,0)))</f>
        <v>0</v>
      </c>
      <c r="W72" s="5" t="s">
        <v>2</v>
      </c>
      <c r="AK72" s="9"/>
      <c r="AL72" s="9"/>
      <c r="AM72" s="9"/>
      <c r="AN72" s="9"/>
    </row>
    <row r="73" spans="1:40" ht="21.75" customHeight="1">
      <c r="A73" s="9"/>
      <c r="B73" s="1"/>
      <c r="C73" s="1"/>
      <c r="D73" s="1"/>
      <c r="E73" s="27"/>
      <c r="F73" s="1"/>
      <c r="G73" s="1"/>
      <c r="H73" s="1"/>
      <c r="I73" s="1"/>
      <c r="J73" s="32"/>
      <c r="L73" s="90">
        <f>IF(M72=1,1,IF(F14=W68,1,0))</f>
        <v>1</v>
      </c>
      <c r="M73" s="88">
        <f t="shared" si="0"/>
        <v>1</v>
      </c>
      <c r="N73" s="31"/>
      <c r="O73" s="2"/>
      <c r="P73" s="31">
        <f>P71*P72</f>
        <v>0</v>
      </c>
      <c r="Q73" s="28"/>
      <c r="V73" s="30"/>
      <c r="W73" s="5" t="s">
        <v>3</v>
      </c>
      <c r="AK73" s="9"/>
      <c r="AL73" s="9"/>
      <c r="AM73" s="9"/>
      <c r="AN73" s="9"/>
    </row>
    <row r="74" spans="1:40" ht="21.75" customHeight="1">
      <c r="A74" s="9"/>
      <c r="B74" s="1"/>
      <c r="C74" s="1"/>
      <c r="D74" s="1"/>
      <c r="E74" s="27"/>
      <c r="F74" s="1"/>
      <c r="G74" s="1"/>
      <c r="H74" s="1"/>
      <c r="I74" s="1"/>
      <c r="J74" s="32"/>
      <c r="L74" s="90">
        <f>IF(M73=1,1,IF(F16=W68,1,0))</f>
        <v>1</v>
      </c>
      <c r="M74" s="88">
        <f t="shared" si="0"/>
        <v>1</v>
      </c>
      <c r="N74" s="31"/>
      <c r="O74" s="2"/>
      <c r="P74" s="2">
        <f>IF(F14="",0,IF(F14=W68,0,1))</f>
        <v>0</v>
      </c>
      <c r="Q74" s="28"/>
      <c r="V74" s="30"/>
      <c r="W74" s="5" t="s">
        <v>21</v>
      </c>
      <c r="AK74" s="9"/>
      <c r="AL74" s="9"/>
      <c r="AM74" s="9"/>
      <c r="AN74" s="9"/>
    </row>
    <row r="75" spans="1:40" ht="21.75" customHeight="1">
      <c r="A75" s="9"/>
      <c r="B75" s="1"/>
      <c r="C75" s="1"/>
      <c r="D75" s="1"/>
      <c r="E75" s="27"/>
      <c r="F75" s="1"/>
      <c r="G75" s="1"/>
      <c r="H75" s="1"/>
      <c r="I75" s="1"/>
      <c r="J75" s="32"/>
      <c r="L75" s="90">
        <f>IF(M74=1,1,IF(O79=2,1,0))</f>
        <v>1</v>
      </c>
      <c r="M75" s="88">
        <f t="shared" si="0"/>
        <v>1</v>
      </c>
      <c r="N75" s="31"/>
      <c r="O75" s="2"/>
      <c r="P75" s="31">
        <f>P73*P74</f>
        <v>0</v>
      </c>
      <c r="V75" s="30"/>
      <c r="W75" s="5"/>
      <c r="AK75" s="9"/>
      <c r="AL75" s="9"/>
      <c r="AM75" s="9"/>
      <c r="AN75" s="9"/>
    </row>
    <row r="76" spans="1:40" ht="21.75" customHeight="1">
      <c r="A76" s="9"/>
      <c r="B76" s="1"/>
      <c r="C76" s="1"/>
      <c r="D76" s="1"/>
      <c r="E76" s="27"/>
      <c r="F76" s="1"/>
      <c r="G76" s="1"/>
      <c r="H76" s="1"/>
      <c r="I76" s="1"/>
      <c r="J76" s="32"/>
      <c r="L76" s="2"/>
      <c r="M76" s="2"/>
      <c r="N76" s="31"/>
      <c r="O76" s="2"/>
      <c r="P76" s="2">
        <f>IF(F16=W69,1,0)</f>
        <v>0</v>
      </c>
      <c r="V76" s="30"/>
      <c r="W76" s="5"/>
      <c r="AK76" s="9"/>
      <c r="AL76" s="9"/>
      <c r="AM76" s="9"/>
      <c r="AN76" s="9"/>
    </row>
    <row r="77" spans="1:40" ht="21.75" customHeight="1">
      <c r="A77" s="9"/>
      <c r="B77" s="1"/>
      <c r="C77" s="1"/>
      <c r="D77" s="1"/>
      <c r="E77" s="27"/>
      <c r="F77" s="1"/>
      <c r="G77" s="1"/>
      <c r="H77" s="1"/>
      <c r="I77" s="1"/>
      <c r="J77" s="32"/>
      <c r="L77" s="2"/>
      <c r="M77" s="2"/>
      <c r="N77" s="31"/>
      <c r="O77" s="2"/>
      <c r="P77" s="31">
        <f>P75*P76</f>
        <v>0</v>
      </c>
      <c r="V77" s="30"/>
      <c r="W77" s="5"/>
      <c r="AK77" s="9"/>
      <c r="AL77" s="9"/>
      <c r="AM77" s="9"/>
      <c r="AN77" s="9"/>
    </row>
    <row r="78" spans="1:40" ht="21.75" customHeight="1">
      <c r="A78" s="9"/>
      <c r="B78" s="1"/>
      <c r="C78" s="1"/>
      <c r="D78" s="1"/>
      <c r="E78" s="27"/>
      <c r="F78" s="1"/>
      <c r="G78" s="1"/>
      <c r="H78" s="1"/>
      <c r="I78" s="1"/>
      <c r="J78" s="32"/>
      <c r="L78" s="2"/>
      <c r="M78" s="2"/>
      <c r="N78" s="31"/>
      <c r="O78" s="2">
        <f>IF(P77=0,0,IF(F18=0,0,IF(F18="",0,1)))</f>
        <v>0</v>
      </c>
      <c r="V78" s="30"/>
      <c r="W78" s="5"/>
      <c r="AK78" s="9"/>
      <c r="AL78" s="9"/>
      <c r="AM78" s="9"/>
      <c r="AN78" s="9"/>
    </row>
    <row r="79" spans="1:40" ht="21.75" customHeight="1">
      <c r="A79" s="9"/>
      <c r="B79" s="1"/>
      <c r="C79" s="1"/>
      <c r="D79" s="1"/>
      <c r="E79" s="27"/>
      <c r="F79" s="1"/>
      <c r="G79" s="1"/>
      <c r="H79" s="1"/>
      <c r="I79" s="1"/>
      <c r="J79" s="32"/>
      <c r="L79" s="2"/>
      <c r="M79" s="2"/>
      <c r="N79" s="31"/>
      <c r="O79" s="42">
        <f>IF(O78=0,0,IF(W238=0,1,2))</f>
        <v>0</v>
      </c>
      <c r="P79" s="31">
        <f>IF(P77=0,0,IF(F18=0,0,IF(F18="",0,IF(O79=2,0,1))))</f>
        <v>0</v>
      </c>
      <c r="V79" s="30"/>
      <c r="W79" s="5"/>
      <c r="AK79" s="9"/>
      <c r="AL79" s="9"/>
      <c r="AM79" s="9"/>
      <c r="AN79" s="9"/>
    </row>
    <row r="80" spans="1:40" ht="21.75" customHeight="1">
      <c r="A80" s="9"/>
      <c r="B80" s="1"/>
      <c r="C80" s="1"/>
      <c r="D80" s="1"/>
      <c r="E80" s="27"/>
      <c r="F80" s="1"/>
      <c r="G80" s="1"/>
      <c r="H80" s="1"/>
      <c r="I80" s="1"/>
      <c r="J80" s="32"/>
      <c r="L80" s="2"/>
      <c r="M80" s="2"/>
      <c r="N80" s="31"/>
      <c r="O80" s="2"/>
      <c r="V80" s="30"/>
      <c r="W80" s="5"/>
      <c r="AK80" s="9"/>
      <c r="AL80" s="9"/>
      <c r="AM80" s="9"/>
      <c r="AN80" s="9"/>
    </row>
    <row r="81" spans="1:40" ht="21.75" customHeight="1">
      <c r="A81" s="9"/>
      <c r="B81" s="1"/>
      <c r="C81" s="1"/>
      <c r="D81" s="1"/>
      <c r="E81" s="27"/>
      <c r="F81" s="1"/>
      <c r="G81" s="1"/>
      <c r="H81" s="1"/>
      <c r="I81" s="1"/>
      <c r="J81" s="32"/>
      <c r="L81" s="2"/>
      <c r="M81" s="2">
        <f>IF(P67+P81=0,1,0)</f>
        <v>1</v>
      </c>
      <c r="N81" s="35">
        <f>U302</f>
        <v>0</v>
      </c>
      <c r="O81" s="2"/>
      <c r="P81" s="33">
        <v>0</v>
      </c>
      <c r="Q81" s="34"/>
      <c r="AK81" s="9"/>
      <c r="AL81" s="9"/>
      <c r="AM81" s="9"/>
      <c r="AN81" s="9"/>
    </row>
    <row r="82" spans="1:40" ht="21.75" customHeight="1">
      <c r="A82" s="9"/>
      <c r="B82" s="1"/>
      <c r="C82" s="1"/>
      <c r="D82" s="1"/>
      <c r="E82" s="27"/>
      <c r="F82" s="1"/>
      <c r="G82" s="1"/>
      <c r="H82" s="1"/>
      <c r="I82" s="1"/>
      <c r="J82" s="32"/>
      <c r="L82" s="2"/>
      <c r="M82" s="2">
        <f>IF(D23="",0,1)</f>
        <v>0</v>
      </c>
      <c r="N82" s="35">
        <f>N81*M82</f>
        <v>0</v>
      </c>
      <c r="O82" s="2"/>
      <c r="AK82" s="9"/>
      <c r="AL82" s="9"/>
      <c r="AM82" s="9"/>
      <c r="AN82" s="9"/>
    </row>
    <row r="83" spans="1:40" ht="21.75" customHeight="1">
      <c r="A83" s="9"/>
      <c r="B83" s="1"/>
      <c r="C83" s="1"/>
      <c r="D83" s="1"/>
      <c r="E83" s="27"/>
      <c r="F83" s="1"/>
      <c r="G83" s="1"/>
      <c r="H83" s="1"/>
      <c r="I83" s="1"/>
      <c r="J83" s="32">
        <f>IF(B31="",1,IF(F31="",0,1))</f>
        <v>1</v>
      </c>
      <c r="L83" s="2"/>
      <c r="M83" s="2">
        <f>IF(F25="",0,1)</f>
        <v>0</v>
      </c>
      <c r="N83" s="36">
        <f>N82*M83</f>
        <v>0</v>
      </c>
      <c r="O83" s="2"/>
      <c r="W83" s="5"/>
      <c r="AK83" s="9"/>
      <c r="AL83" s="9"/>
      <c r="AM83" s="9"/>
      <c r="AN83" s="9"/>
    </row>
    <row r="84" spans="1:40" ht="21.75" customHeight="1">
      <c r="A84" s="9"/>
      <c r="B84" s="1"/>
      <c r="C84" s="1"/>
      <c r="D84" s="1"/>
      <c r="E84" s="27"/>
      <c r="F84" s="1"/>
      <c r="G84" s="1"/>
      <c r="H84" s="1"/>
      <c r="I84" s="1"/>
      <c r="J84" s="32"/>
      <c r="L84" s="2"/>
      <c r="M84" s="2"/>
      <c r="N84" s="31"/>
      <c r="O84" s="2"/>
      <c r="U84" s="21"/>
      <c r="V84" s="21"/>
      <c r="Y84" s="33">
        <f>P67</f>
        <v>0</v>
      </c>
      <c r="Z84" s="140" t="s">
        <v>84</v>
      </c>
      <c r="AK84" s="9"/>
      <c r="AL84" s="9"/>
      <c r="AM84" s="9"/>
      <c r="AN84" s="9"/>
    </row>
    <row r="85" spans="1:40" ht="20.25" customHeight="1">
      <c r="A85" s="9"/>
      <c r="B85" s="1"/>
      <c r="C85" s="1"/>
      <c r="D85" s="1"/>
      <c r="E85" s="27"/>
      <c r="F85" s="1"/>
      <c r="G85" s="1"/>
      <c r="H85" s="1"/>
      <c r="I85" s="1"/>
      <c r="J85" s="32">
        <f>IF(B33="",1,IF(F33="",0,1))</f>
        <v>1</v>
      </c>
      <c r="L85" s="2"/>
      <c r="M85" s="2"/>
      <c r="N85" s="31"/>
      <c r="O85" s="2"/>
      <c r="P85" s="37">
        <v>1</v>
      </c>
      <c r="Q85" s="26"/>
      <c r="T85" s="26"/>
      <c r="Y85" s="33"/>
      <c r="Z85" s="99"/>
      <c r="AK85" s="9"/>
      <c r="AL85" s="9"/>
      <c r="AM85" s="9"/>
      <c r="AN85" s="9"/>
    </row>
    <row r="86" spans="1:40" ht="21.75" customHeight="1">
      <c r="A86" s="9"/>
      <c r="B86" s="1"/>
      <c r="C86" s="1"/>
      <c r="D86" s="1"/>
      <c r="E86" s="27"/>
      <c r="F86" s="1"/>
      <c r="G86" s="1"/>
      <c r="H86" s="1"/>
      <c r="I86" s="1"/>
      <c r="J86" s="32"/>
      <c r="L86" s="38">
        <v>1</v>
      </c>
      <c r="M86" s="38">
        <v>2</v>
      </c>
      <c r="N86" s="38">
        <v>3</v>
      </c>
      <c r="O86" s="2"/>
      <c r="P86" s="39"/>
      <c r="Q86" s="28">
        <f>IF(F25="",0,IF(V72=1,1,0))</f>
        <v>0</v>
      </c>
      <c r="R86" s="40">
        <f>Q86</f>
        <v>0</v>
      </c>
      <c r="S86" s="40">
        <f>Q86</f>
        <v>0</v>
      </c>
      <c r="T86" s="2">
        <f>S86</f>
        <v>0</v>
      </c>
      <c r="V86" s="41"/>
      <c r="W86" s="41"/>
      <c r="Y86" s="33">
        <f>IF(O104=0,0,IF(V148&lt;=300,1,0))</f>
        <v>0</v>
      </c>
      <c r="Z86" s="99" t="str">
        <f>IF(V72=3,"Η Επιχείρηση δεν πληροί τις προϋποθέσεις της παραγράφου 2ε του άρθρου 3 της ΓΔΟΥ 281/14.11.2020 (Ακαθάριστα έσοδα αναφοράς μικρότερα ή ίσα των 300 €) και ΔΕΝ ΔΙΚΑΙΟΥΤΑΙ επιστρεπτέα προκαταβολή","Η Επιχείρηση δεν πληροί τις προϋποθέσεις της παραγράφου 2ε του άρθρου 3 της ΓΔΟΥ 281/14.11.2020 (Κύκλο εργασιών αναφοράς μικρότερο ή ίσο των 300 €) και ΔΕΝ ΔΙΚΑΙΟΥΤΑΙ επιστρεπτέα προκαταβολή")</f>
        <v>Η Επιχείρηση δεν πληροί τις προϋποθέσεις της παραγράφου 2ε του άρθρου 3 της ΓΔΟΥ 281/14.11.2020 (Κύκλο εργασιών αναφοράς μικρότερο ή ίσο των 300 €) και ΔΕΝ ΔΙΚΑΙΟΥΤΑΙ επιστρεπτέα προκαταβολή</v>
      </c>
      <c r="AK86" s="9"/>
      <c r="AL86" s="9"/>
      <c r="AM86" s="9"/>
      <c r="AN86" s="9"/>
    </row>
    <row r="87" spans="1:40" ht="21.75" customHeight="1">
      <c r="A87" s="9"/>
      <c r="B87" s="1"/>
      <c r="C87" s="1"/>
      <c r="D87" s="1"/>
      <c r="E87" s="27"/>
      <c r="F87" s="1"/>
      <c r="G87" s="1"/>
      <c r="H87" s="1"/>
      <c r="I87" s="1"/>
      <c r="J87" s="36">
        <f>J67*J69*J71*J83*J85</f>
        <v>1</v>
      </c>
      <c r="L87" s="2">
        <f>IF(N83=0,0,1)</f>
        <v>0</v>
      </c>
      <c r="M87" s="2">
        <f>L87</f>
        <v>0</v>
      </c>
      <c r="N87" s="2">
        <f>M87</f>
        <v>0</v>
      </c>
      <c r="O87" s="2"/>
      <c r="Q87" s="8"/>
      <c r="R87" s="40">
        <f>IF(Q103=1,0,1)</f>
        <v>1</v>
      </c>
      <c r="S87" s="40">
        <f>IF(Q103=1,0,IF(R103=1,0,1))</f>
        <v>1</v>
      </c>
      <c r="T87" s="40">
        <f>IF(Q103=1,0,IF(R103=1,0,IF(S103=1,0,1)))</f>
        <v>1</v>
      </c>
      <c r="V87" s="40"/>
      <c r="W87" s="41"/>
      <c r="Y87" s="33">
        <f>IF(O104=0,0,IF(Y108=1,0,IF(Y147&lt;20%,1,0)))</f>
        <v>0</v>
      </c>
      <c r="Z87" s="99" t="str">
        <f>IF(V72=3,"Η Επιχείρηση δεν πληροί τις προϋποθέσεις της παραγράφου 2ε του άρθρου 3 της ΓΔΟΥ 281/14.11.2020 (Μείωση ακαθαρίστων εσόδων τουλάχιστον 20%)και ΔΕΝ ΔΙΚΑΙΟΥΤΑΙ επιστρεπτέα προκαταβολή","Η Επιχείρηση δεν πληροί τις προϋποθέσεις της παραγράφου 2ε του άρθρου 3 της ΓΔΟΥ 281/14.11.2020 (Μείωση κύκλου εργασιών τουλάχιστον 20%) και ΔΕΝ ΔΙΚΑΙΟΥΤΑΙ επιστρεπτέα προκαταβολή")</f>
        <v>Η Επιχείρηση δεν πληροί τις προϋποθέσεις της παραγράφου 2ε του άρθρου 3 της ΓΔΟΥ 281/14.11.2020 (Μείωση κύκλου εργασιών τουλάχιστον 20%) και ΔΕΝ ΔΙΚΑΙΟΥΤΑΙ επιστρεπτέα προκαταβολή</v>
      </c>
      <c r="AK87" s="9"/>
      <c r="AL87" s="9"/>
      <c r="AM87" s="9"/>
      <c r="AN87" s="9"/>
    </row>
    <row r="88" spans="1:40" ht="21.75" customHeight="1">
      <c r="A88" s="9"/>
      <c r="B88" s="1"/>
      <c r="C88" s="1"/>
      <c r="D88" s="1"/>
      <c r="E88" s="27"/>
      <c r="F88" s="1"/>
      <c r="G88" s="1"/>
      <c r="H88" s="1"/>
      <c r="I88" s="1"/>
      <c r="L88" s="2">
        <f>IF(F27="",0,1)</f>
        <v>0</v>
      </c>
      <c r="M88" s="2">
        <f>IF(F27="",0,1)</f>
        <v>0</v>
      </c>
      <c r="N88" s="31">
        <f>M88</f>
        <v>0</v>
      </c>
      <c r="O88" s="2"/>
      <c r="Q88" s="28">
        <f>IF(F27="",0,1)</f>
        <v>0</v>
      </c>
      <c r="R88" s="40">
        <f>Q88</f>
        <v>0</v>
      </c>
      <c r="S88" s="40">
        <f>R88</f>
        <v>0</v>
      </c>
      <c r="T88" s="40">
        <f aca="true" t="shared" si="1" ref="R88:T89">S88</f>
        <v>0</v>
      </c>
      <c r="V88" s="40"/>
      <c r="W88" s="41"/>
      <c r="Y88" s="69">
        <f>Y84+Y85+Y86+Y87</f>
        <v>0</v>
      </c>
      <c r="AK88" s="9"/>
      <c r="AL88" s="9"/>
      <c r="AM88" s="9"/>
      <c r="AN88" s="9"/>
    </row>
    <row r="89" spans="1:40" ht="21.75" customHeight="1">
      <c r="A89" s="9"/>
      <c r="B89" s="1"/>
      <c r="C89" s="1"/>
      <c r="D89" s="1"/>
      <c r="E89" s="27"/>
      <c r="F89" s="1"/>
      <c r="G89" s="1"/>
      <c r="H89" s="1"/>
      <c r="I89" s="1"/>
      <c r="L89" s="2">
        <f>IF(F29="",0,1)</f>
        <v>0</v>
      </c>
      <c r="M89" s="2">
        <f>IF(F29="",0,1)</f>
        <v>0</v>
      </c>
      <c r="N89" s="31"/>
      <c r="O89" s="2"/>
      <c r="Q89" s="28">
        <f>IF(F29="",0,1)</f>
        <v>0</v>
      </c>
      <c r="R89" s="40">
        <f t="shared" si="1"/>
        <v>0</v>
      </c>
      <c r="S89" s="40">
        <f t="shared" si="1"/>
        <v>0</v>
      </c>
      <c r="T89" s="40">
        <f t="shared" si="1"/>
        <v>0</v>
      </c>
      <c r="V89" s="40"/>
      <c r="W89" s="41"/>
      <c r="AK89" s="9"/>
      <c r="AL89" s="9"/>
      <c r="AM89" s="9"/>
      <c r="AN89" s="9"/>
    </row>
    <row r="90" spans="1:40" ht="21.75" customHeight="1">
      <c r="A90" s="9"/>
      <c r="B90" s="1"/>
      <c r="C90" s="1"/>
      <c r="D90" s="1"/>
      <c r="E90" s="27"/>
      <c r="F90" s="1"/>
      <c r="G90" s="1"/>
      <c r="H90" s="1"/>
      <c r="I90" s="1"/>
      <c r="L90" s="2"/>
      <c r="M90" s="2"/>
      <c r="N90" s="31"/>
      <c r="O90" s="2"/>
      <c r="Q90" s="143"/>
      <c r="R90" s="94"/>
      <c r="S90" s="94"/>
      <c r="T90" s="94"/>
      <c r="V90" s="40"/>
      <c r="W90" s="41"/>
      <c r="AK90" s="9"/>
      <c r="AL90" s="9"/>
      <c r="AM90" s="9"/>
      <c r="AN90" s="9"/>
    </row>
    <row r="91" spans="1:40" ht="21.75" customHeight="1">
      <c r="A91" s="9"/>
      <c r="B91" s="1"/>
      <c r="C91" s="1"/>
      <c r="D91" s="1"/>
      <c r="E91" s="27"/>
      <c r="F91" s="1"/>
      <c r="G91" s="1"/>
      <c r="H91" s="1"/>
      <c r="I91" s="1"/>
      <c r="L91" s="2"/>
      <c r="M91" s="2"/>
      <c r="N91" s="31"/>
      <c r="O91" s="2"/>
      <c r="Q91" s="28"/>
      <c r="R91" s="40"/>
      <c r="S91" s="40"/>
      <c r="T91" s="40"/>
      <c r="V91" s="40"/>
      <c r="W91" s="41"/>
      <c r="AK91" s="9"/>
      <c r="AL91" s="9"/>
      <c r="AM91" s="9"/>
      <c r="AN91" s="9"/>
    </row>
    <row r="92" spans="1:40" ht="21.75" customHeight="1">
      <c r="A92" s="9"/>
      <c r="B92" s="1"/>
      <c r="C92" s="1"/>
      <c r="D92" s="1"/>
      <c r="E92" s="27"/>
      <c r="F92" s="1"/>
      <c r="G92" s="1"/>
      <c r="H92" s="1"/>
      <c r="I92" s="1"/>
      <c r="L92" s="2"/>
      <c r="M92" s="2"/>
      <c r="N92" s="31"/>
      <c r="O92" s="2"/>
      <c r="Q92" s="28"/>
      <c r="R92" s="40"/>
      <c r="S92" s="40"/>
      <c r="T92" s="40"/>
      <c r="V92" s="40"/>
      <c r="W92" s="41"/>
      <c r="AK92" s="9"/>
      <c r="AL92" s="9"/>
      <c r="AM92" s="9"/>
      <c r="AN92" s="9"/>
    </row>
    <row r="93" spans="1:40" ht="21.75" customHeight="1">
      <c r="A93" s="9"/>
      <c r="B93" s="1"/>
      <c r="C93" s="1"/>
      <c r="D93" s="1"/>
      <c r="E93" s="27"/>
      <c r="F93" s="1"/>
      <c r="G93" s="1"/>
      <c r="H93" s="1"/>
      <c r="I93" s="1"/>
      <c r="L93" s="2"/>
      <c r="M93" s="2"/>
      <c r="N93" s="31"/>
      <c r="O93" s="2"/>
      <c r="Q93" s="28"/>
      <c r="R93" s="40"/>
      <c r="S93" s="40"/>
      <c r="T93" s="40"/>
      <c r="V93" s="40"/>
      <c r="W93" s="41"/>
      <c r="AK93" s="9"/>
      <c r="AL93" s="9"/>
      <c r="AM93" s="9"/>
      <c r="AN93" s="9"/>
    </row>
    <row r="94" spans="1:40" ht="21.75" customHeight="1">
      <c r="A94" s="9"/>
      <c r="B94" s="1"/>
      <c r="C94" s="1"/>
      <c r="D94" s="1"/>
      <c r="E94" s="27"/>
      <c r="F94" s="1"/>
      <c r="G94" s="1"/>
      <c r="H94" s="1"/>
      <c r="I94" s="1"/>
      <c r="L94" s="2"/>
      <c r="M94" s="2"/>
      <c r="N94" s="31"/>
      <c r="O94" s="2"/>
      <c r="Q94" s="2">
        <f>IF(N83=0,0,1)</f>
        <v>0</v>
      </c>
      <c r="R94" s="40"/>
      <c r="S94" s="6"/>
      <c r="T94" s="40"/>
      <c r="V94" s="40"/>
      <c r="W94" s="41"/>
      <c r="AK94" s="9"/>
      <c r="AL94" s="9"/>
      <c r="AM94" s="9"/>
      <c r="AN94" s="9"/>
    </row>
    <row r="95" spans="1:40" ht="21.75" customHeight="1">
      <c r="A95" s="9"/>
      <c r="B95" s="1"/>
      <c r="C95" s="1"/>
      <c r="D95" s="1"/>
      <c r="E95" s="27"/>
      <c r="F95" s="1"/>
      <c r="G95" s="1"/>
      <c r="H95" s="1"/>
      <c r="I95" s="1"/>
      <c r="L95" s="42">
        <f>L87*L88*L89</f>
        <v>0</v>
      </c>
      <c r="M95" s="42">
        <f>M87*M88*M89</f>
        <v>0</v>
      </c>
      <c r="N95" s="42">
        <f>N87*N88</f>
        <v>0</v>
      </c>
      <c r="O95" s="2"/>
      <c r="Q95" s="2">
        <f>IF(F27&gt;0,1,0)</f>
        <v>0</v>
      </c>
      <c r="R95" s="142">
        <f>IF(F27&gt;0,1,0)</f>
        <v>0</v>
      </c>
      <c r="S95" s="142">
        <f>R95</f>
        <v>0</v>
      </c>
      <c r="T95" s="94"/>
      <c r="V95" s="40"/>
      <c r="W95" s="150" t="s">
        <v>232</v>
      </c>
      <c r="Y95" s="7" t="str">
        <f>"Ανώτατο ύψος ενίσχυσης δυνάμει του Προσωρινού Πλαισίου "&amp;AB95&amp;" €"</f>
        <v>Ανώτατο ύψος ενίσχυσης δυνάμει του Προσωρινού Πλαισίου 0 €</v>
      </c>
      <c r="AB95" s="3">
        <f>IF(F10="",0,IF(F10&lt;=250,350000,500000))</f>
        <v>0</v>
      </c>
      <c r="AK95" s="9"/>
      <c r="AL95" s="9"/>
      <c r="AM95" s="9"/>
      <c r="AN95" s="9"/>
    </row>
    <row r="96" spans="7:40" ht="21.75" customHeight="1">
      <c r="G96" s="1"/>
      <c r="H96" s="1"/>
      <c r="I96" s="1"/>
      <c r="L96" s="2"/>
      <c r="M96" s="2"/>
      <c r="N96" s="31">
        <f>IF(V72=1,N83*L95,IF(V72=2,N83*M95,IF(V72=3,N83*N95,0)))</f>
        <v>0</v>
      </c>
      <c r="O96" s="2"/>
      <c r="Q96" s="2">
        <f>IF(F29&gt;0,1,0)</f>
        <v>0</v>
      </c>
      <c r="R96" s="142">
        <f>IF(F29&gt;0,1,0)</f>
        <v>0</v>
      </c>
      <c r="S96" s="142">
        <f>R96</f>
        <v>0</v>
      </c>
      <c r="T96" s="94"/>
      <c r="V96" s="40"/>
      <c r="W96" s="151">
        <f>IF(V65=1,1,0)</f>
        <v>0</v>
      </c>
      <c r="AK96" s="9"/>
      <c r="AL96" s="9"/>
      <c r="AM96" s="9"/>
      <c r="AN96" s="9"/>
    </row>
    <row r="97" spans="7:40" ht="21.75" customHeight="1">
      <c r="G97" s="1"/>
      <c r="H97" s="1"/>
      <c r="I97" s="1"/>
      <c r="L97" s="2"/>
      <c r="M97" s="2"/>
      <c r="N97" s="31"/>
      <c r="O97" s="2"/>
      <c r="Q97" s="46"/>
      <c r="R97" s="92">
        <f>IF(R95+R96=1,1,0)</f>
        <v>0</v>
      </c>
      <c r="S97" s="92">
        <f>IF(S95+S96=0,1,0)</f>
        <v>1</v>
      </c>
      <c r="T97" s="94"/>
      <c r="V97" s="40"/>
      <c r="W97" s="151">
        <f>IF(F10="",0,IF(F10=0,1,0))</f>
        <v>0</v>
      </c>
      <c r="AK97" s="9"/>
      <c r="AL97" s="9"/>
      <c r="AM97" s="9"/>
      <c r="AN97" s="9"/>
    </row>
    <row r="98" spans="13:40" ht="21.75" customHeight="1">
      <c r="M98" s="2">
        <f>IF(S98+R137&gt;0,1,0)</f>
        <v>0</v>
      </c>
      <c r="N98" s="31"/>
      <c r="O98" s="2"/>
      <c r="S98" s="44">
        <f>S86*S87*S88*S89*S97</f>
        <v>0</v>
      </c>
      <c r="T98" s="40">
        <f>IF(F31="",0,IF(F33="",0,1))</f>
        <v>0</v>
      </c>
      <c r="V98" s="40"/>
      <c r="W98" s="151">
        <f>IF(F12="",0,IF(F12=W69,1,0))</f>
        <v>0</v>
      </c>
      <c r="AK98" s="9"/>
      <c r="AL98" s="9"/>
      <c r="AM98" s="9"/>
      <c r="AN98" s="9"/>
    </row>
    <row r="99" spans="13:40" ht="21.75" customHeight="1">
      <c r="M99" s="2"/>
      <c r="N99" s="31"/>
      <c r="O99" s="2"/>
      <c r="Q99" s="44"/>
      <c r="S99" s="44"/>
      <c r="T99" s="40"/>
      <c r="V99" s="40"/>
      <c r="W99" s="152">
        <f>W96*W97*W98</f>
        <v>0</v>
      </c>
      <c r="AK99" s="9"/>
      <c r="AL99" s="9"/>
      <c r="AM99" s="9"/>
      <c r="AN99" s="9"/>
    </row>
    <row r="100" spans="13:40" ht="21.75" customHeight="1">
      <c r="M100" s="2"/>
      <c r="N100" s="31"/>
      <c r="O100" s="2"/>
      <c r="Q100" s="44"/>
      <c r="S100" s="44"/>
      <c r="T100" s="40"/>
      <c r="V100" s="40"/>
      <c r="W100" s="41"/>
      <c r="AK100" s="9"/>
      <c r="AL100" s="9"/>
      <c r="AM100" s="9"/>
      <c r="AN100" s="9"/>
    </row>
    <row r="101" spans="13:40" ht="21.75" customHeight="1">
      <c r="M101" s="2">
        <f>IF(F31="",0,1)</f>
        <v>0</v>
      </c>
      <c r="N101" s="31"/>
      <c r="O101" s="2"/>
      <c r="R101" s="44">
        <f>R86*R87*R88*R89*R97</f>
        <v>0</v>
      </c>
      <c r="S101" s="40">
        <f>IF(F31="",0,1)</f>
        <v>0</v>
      </c>
      <c r="T101" s="40"/>
      <c r="V101" s="40"/>
      <c r="W101" s="41"/>
      <c r="AK101" s="9"/>
      <c r="AL101" s="9"/>
      <c r="AM101" s="9"/>
      <c r="AN101" s="9"/>
    </row>
    <row r="102" spans="12:40" ht="21.75" customHeight="1">
      <c r="L102" s="2"/>
      <c r="M102" s="2">
        <f>M98*M101</f>
        <v>0</v>
      </c>
      <c r="N102" s="31">
        <f>N96*M102</f>
        <v>0</v>
      </c>
      <c r="O102" s="101"/>
      <c r="Q102" s="2"/>
      <c r="R102" s="44"/>
      <c r="S102" s="40">
        <f>IF(F31&gt;0,1,0)</f>
        <v>0</v>
      </c>
      <c r="T102" s="40"/>
      <c r="V102" s="40"/>
      <c r="W102" s="41"/>
      <c r="AK102" s="9"/>
      <c r="AL102" s="9"/>
      <c r="AM102" s="9"/>
      <c r="AN102" s="9"/>
    </row>
    <row r="103" spans="12:40" ht="21.75" customHeight="1">
      <c r="L103" s="2"/>
      <c r="M103" s="2"/>
      <c r="N103" s="31"/>
      <c r="O103" s="2"/>
      <c r="Q103" s="43">
        <f>Q86*Q88*Q89*Q94*Q95*Q96</f>
        <v>0</v>
      </c>
      <c r="R103" s="43">
        <f>R101</f>
        <v>0</v>
      </c>
      <c r="S103" s="43">
        <f>S98*S101*S102</f>
        <v>0</v>
      </c>
      <c r="T103" s="43">
        <f>T86*T87*T88*T89*T98</f>
        <v>0</v>
      </c>
      <c r="V103" s="40"/>
      <c r="W103" s="41"/>
      <c r="AK103" s="9"/>
      <c r="AL103" s="9"/>
      <c r="AM103" s="9"/>
      <c r="AN103" s="9"/>
    </row>
    <row r="104" spans="12:40" ht="21.75" customHeight="1">
      <c r="L104" s="2"/>
      <c r="M104" s="2"/>
      <c r="N104" s="70">
        <f>IF(Y148=0,0,N83*J87)</f>
        <v>0</v>
      </c>
      <c r="O104" s="100">
        <f>N83*J87</f>
        <v>0</v>
      </c>
      <c r="Q104" s="45" t="s">
        <v>5</v>
      </c>
      <c r="R104" s="45" t="s">
        <v>6</v>
      </c>
      <c r="S104" s="45" t="s">
        <v>7</v>
      </c>
      <c r="T104" s="45" t="s">
        <v>8</v>
      </c>
      <c r="V104" s="37">
        <v>1</v>
      </c>
      <c r="W104" s="41"/>
      <c r="AA104" s="7"/>
      <c r="AK104" s="9"/>
      <c r="AL104" s="9"/>
      <c r="AM104" s="9"/>
      <c r="AN104" s="9"/>
    </row>
    <row r="105" spans="12:40" ht="21.75" customHeight="1">
      <c r="L105" s="2"/>
      <c r="M105" s="46">
        <f>IF(W99=1,1,IF(F37="",0,1))</f>
        <v>0</v>
      </c>
      <c r="N105" s="36">
        <f>N104*M105</f>
        <v>0</v>
      </c>
      <c r="O105" s="46"/>
      <c r="Q105" s="47" t="s">
        <v>24</v>
      </c>
      <c r="R105" s="47" t="s">
        <v>24</v>
      </c>
      <c r="S105" s="47" t="s">
        <v>24</v>
      </c>
      <c r="T105" s="47" t="s">
        <v>24</v>
      </c>
      <c r="V105" s="47" t="s">
        <v>26</v>
      </c>
      <c r="W105" s="102" t="s">
        <v>234</v>
      </c>
      <c r="X105" s="103" t="s">
        <v>11</v>
      </c>
      <c r="Y105" s="103" t="s">
        <v>12</v>
      </c>
      <c r="Z105" s="7" t="s">
        <v>31</v>
      </c>
      <c r="AA105" s="7" t="s">
        <v>234</v>
      </c>
      <c r="AB105" s="6" t="s">
        <v>0</v>
      </c>
      <c r="AC105" s="6" t="s">
        <v>233</v>
      </c>
      <c r="AD105" s="6" t="s">
        <v>236</v>
      </c>
      <c r="AE105" s="153" t="s">
        <v>80</v>
      </c>
      <c r="AF105" s="6" t="s">
        <v>237</v>
      </c>
      <c r="AG105" s="6" t="s">
        <v>238</v>
      </c>
      <c r="AH105" s="6" t="s">
        <v>239</v>
      </c>
      <c r="AI105" s="3" t="s">
        <v>13</v>
      </c>
      <c r="AJ105" s="6" t="s">
        <v>14</v>
      </c>
      <c r="AK105" s="9"/>
      <c r="AL105" s="9"/>
      <c r="AM105" s="9"/>
      <c r="AN105" s="9"/>
    </row>
    <row r="106" spans="12:49" ht="21.75" customHeight="1">
      <c r="L106" s="2"/>
      <c r="M106" s="46">
        <f>IF(W99=1,1,IF(F39="",0,1))</f>
        <v>0</v>
      </c>
      <c r="N106" s="36">
        <f>N105*M106</f>
        <v>0</v>
      </c>
      <c r="O106" s="46"/>
      <c r="Q106" s="97">
        <f>ROUND(IF(Q103=0,0,(F27*1/3)+(F29*1/3)),2)</f>
        <v>0</v>
      </c>
      <c r="R106" s="98">
        <f>ROUND(IF(R103=0,0,IF(R95=0,F29*2/3,F27*2/3)),2)</f>
        <v>0</v>
      </c>
      <c r="S106" s="97">
        <f>ROUND(IF(S103=0,0,F31*2/3),2)</f>
        <v>0</v>
      </c>
      <c r="T106" s="97">
        <f>ROUND(IF(T103=0,0,F33*2/3),2)</f>
        <v>0</v>
      </c>
      <c r="V106" s="49">
        <f>Q106+R106+S106+T106</f>
        <v>0</v>
      </c>
      <c r="W106" s="104">
        <f>ROUND(IF(F25&gt;0,F25,0),2)</f>
        <v>0</v>
      </c>
      <c r="X106" s="104">
        <f>ROUND(IF(V106-W106&gt;0,V106-W106,0),2)</f>
        <v>0</v>
      </c>
      <c r="Y106" s="105">
        <f>ROUND(IF(V106=0,0,X106/V106),4)</f>
        <v>0</v>
      </c>
      <c r="Z106" s="26">
        <f>ROUND(V106*Y107,2)</f>
        <v>0</v>
      </c>
      <c r="AA106" s="26">
        <f>ROUND(W106*Y107,2)</f>
        <v>0</v>
      </c>
      <c r="AB106" s="60">
        <f>IF(W99=1,0,IF(F37=0,0,(F37-F39)/F37))</f>
        <v>0</v>
      </c>
      <c r="AC106" s="26">
        <f>IF(Y107=0,0,$F$41)</f>
        <v>0</v>
      </c>
      <c r="AD106" s="26">
        <f>IF(Y107=0,0,IF(Z106-AA106&lt;0,0,Z106-AA106))</f>
        <v>0</v>
      </c>
      <c r="AE106" s="154"/>
      <c r="AF106" s="26">
        <f>ROUND(IF((AD106*AB107)-(AC106*534)&lt;0,0,(AD106*AB107)-(AC106*534)),2)</f>
        <v>0</v>
      </c>
      <c r="AG106" s="26">
        <f>IF(W99=0,0,IF(Y107=0,0,IF(Y108&gt;0,2000,1000)))</f>
        <v>0</v>
      </c>
      <c r="AH106" s="26">
        <f>IF(Y107=0,0,IF(W99=1,AG106,AF106))</f>
        <v>0</v>
      </c>
      <c r="AI106" s="26">
        <f>IF($F$10="",0,IF(Y107=0,0,IF(Y108=0,1000,IF($F$10=0,2000,IF($F$10&lt;=5,4000,IF($F$10&lt;=20,8000,IF($F$10&lt;=50,15000,30000)))))))</f>
        <v>0</v>
      </c>
      <c r="AJ106" s="26">
        <f>IF(Y107=0,0,IF(AH106&gt;AI106,AH106,AI106))</f>
        <v>0</v>
      </c>
      <c r="AK106" s="1"/>
      <c r="AL106" s="1"/>
      <c r="AM106" s="1"/>
      <c r="AN106" s="1"/>
      <c r="AO106" s="3"/>
      <c r="AP106" s="3"/>
      <c r="AQ106" s="3"/>
      <c r="AR106" s="3"/>
      <c r="AS106" s="3"/>
      <c r="AT106" s="3"/>
      <c r="AU106" s="3"/>
      <c r="AV106" s="3"/>
      <c r="AW106" s="3"/>
    </row>
    <row r="107" spans="12:40" ht="21.75" customHeight="1">
      <c r="L107" s="2"/>
      <c r="M107" s="46">
        <f>IF(W99=1,1,IF(F41="",0,1))</f>
        <v>0</v>
      </c>
      <c r="N107" s="36">
        <f>N106*M107</f>
        <v>0</v>
      </c>
      <c r="O107" s="2"/>
      <c r="Q107" s="2"/>
      <c r="R107" s="40"/>
      <c r="S107" s="40"/>
      <c r="T107" s="40"/>
      <c r="U107" s="40"/>
      <c r="V107" s="40"/>
      <c r="W107" s="104"/>
      <c r="X107" s="106"/>
      <c r="Y107" s="107">
        <f>IF(P67&gt;0,0,IF(V106&lt;=300,0,IF(Y108=1,1,IF(Y106&gt;=20%,1,0))))</f>
        <v>0</v>
      </c>
      <c r="Z107" s="8"/>
      <c r="AB107" s="108">
        <f>ROUND(IF(W99=1,0,IF(Y107=0,0,IF(AB106&lt;0.2,0.2,AB106))),3)</f>
        <v>0</v>
      </c>
      <c r="AK107" s="9"/>
      <c r="AL107" s="9"/>
      <c r="AM107" s="9"/>
      <c r="AN107" s="9"/>
    </row>
    <row r="108" spans="12:40" ht="21.75" customHeight="1">
      <c r="L108" s="2"/>
      <c r="M108" s="46"/>
      <c r="N108" s="36"/>
      <c r="O108" s="2"/>
      <c r="P108" s="37">
        <v>2</v>
      </c>
      <c r="Q108" s="26"/>
      <c r="R108" s="26"/>
      <c r="S108" s="26"/>
      <c r="T108" s="26"/>
      <c r="U108" s="40"/>
      <c r="V108" s="40"/>
      <c r="W108" s="3"/>
      <c r="X108" s="149" t="s">
        <v>231</v>
      </c>
      <c r="Y108" s="148">
        <f>IF(U284+U287+U297&gt;0,1,0)</f>
        <v>0</v>
      </c>
      <c r="Z108" s="8"/>
      <c r="AK108" s="9"/>
      <c r="AL108" s="9"/>
      <c r="AM108" s="9"/>
      <c r="AN108" s="9"/>
    </row>
    <row r="109" spans="12:40" ht="21.75" customHeight="1">
      <c r="L109" s="10"/>
      <c r="M109" s="46"/>
      <c r="N109" s="36"/>
      <c r="O109" s="2"/>
      <c r="P109" s="39"/>
      <c r="Q109" s="2">
        <f>IF(F25="",0,IF(V72=2,1,0))</f>
        <v>0</v>
      </c>
      <c r="R109" s="40">
        <f>Q109</f>
        <v>0</v>
      </c>
      <c r="S109" s="40">
        <f>R109</f>
        <v>0</v>
      </c>
      <c r="T109" s="40">
        <f>S109</f>
        <v>0</v>
      </c>
      <c r="U109" s="94"/>
      <c r="V109" s="40"/>
      <c r="W109" s="3"/>
      <c r="X109" s="8"/>
      <c r="Y109" s="8"/>
      <c r="Z109" s="8"/>
      <c r="AK109" s="9"/>
      <c r="AL109" s="9"/>
      <c r="AM109" s="9"/>
      <c r="AN109" s="9"/>
    </row>
    <row r="110" spans="12:40" ht="21.75" customHeight="1">
      <c r="L110" s="8"/>
      <c r="M110" s="8"/>
      <c r="N110" s="8"/>
      <c r="O110" s="2"/>
      <c r="Q110" s="8"/>
      <c r="R110" s="40">
        <f>IF(Q127=1,0,1)</f>
        <v>1</v>
      </c>
      <c r="S110" s="40">
        <f>IF(Q127=1,0,IF(R127=1,0,1))</f>
        <v>1</v>
      </c>
      <c r="T110" s="40">
        <f>IF(Q127=1,0,IF(R127=1,0,IF(S127=1,0,1)))</f>
        <v>1</v>
      </c>
      <c r="U110" s="94"/>
      <c r="V110" s="40"/>
      <c r="W110" s="3"/>
      <c r="X110" s="8"/>
      <c r="Y110" s="8"/>
      <c r="Z110" s="8"/>
      <c r="AK110" s="9"/>
      <c r="AL110" s="9"/>
      <c r="AM110" s="9"/>
      <c r="AN110" s="9"/>
    </row>
    <row r="111" spans="12:40" ht="21.75" customHeight="1">
      <c r="L111" s="2"/>
      <c r="M111" s="2"/>
      <c r="N111" s="31"/>
      <c r="O111" s="2"/>
      <c r="Q111" s="2">
        <f>Q88</f>
        <v>0</v>
      </c>
      <c r="R111" s="40">
        <f aca="true" t="shared" si="2" ref="R111:T112">Q111</f>
        <v>0</v>
      </c>
      <c r="S111" s="40">
        <f t="shared" si="2"/>
        <v>0</v>
      </c>
      <c r="T111" s="40">
        <f t="shared" si="2"/>
        <v>0</v>
      </c>
      <c r="U111" s="94"/>
      <c r="V111" s="40"/>
      <c r="W111" s="3"/>
      <c r="X111" s="8"/>
      <c r="Y111" s="8"/>
      <c r="Z111" s="8"/>
      <c r="AK111" s="9"/>
      <c r="AL111" s="9"/>
      <c r="AM111" s="9"/>
      <c r="AN111" s="9"/>
    </row>
    <row r="112" spans="12:40" ht="21.75" customHeight="1">
      <c r="L112" s="2"/>
      <c r="M112" s="2"/>
      <c r="N112" s="31"/>
      <c r="O112" s="2"/>
      <c r="Q112" s="2">
        <f>Q89</f>
        <v>0</v>
      </c>
      <c r="R112" s="40">
        <f t="shared" si="2"/>
        <v>0</v>
      </c>
      <c r="S112" s="40">
        <f t="shared" si="2"/>
        <v>0</v>
      </c>
      <c r="T112" s="40">
        <f t="shared" si="2"/>
        <v>0</v>
      </c>
      <c r="U112" s="94"/>
      <c r="V112" s="40"/>
      <c r="W112" s="3"/>
      <c r="X112" s="8"/>
      <c r="Y112" s="8"/>
      <c r="Z112" s="8"/>
      <c r="AK112" s="9"/>
      <c r="AL112" s="9"/>
      <c r="AM112" s="9"/>
      <c r="AN112" s="9"/>
    </row>
    <row r="113" spans="12:40" ht="21.75" customHeight="1">
      <c r="L113" s="2"/>
      <c r="M113" s="2"/>
      <c r="N113" s="31"/>
      <c r="O113" s="2"/>
      <c r="Q113" s="46"/>
      <c r="R113" s="94"/>
      <c r="S113" s="40"/>
      <c r="T113" s="40"/>
      <c r="U113" s="94"/>
      <c r="V113" s="40"/>
      <c r="W113" s="3"/>
      <c r="X113" s="8"/>
      <c r="Y113" s="8"/>
      <c r="Z113" s="8"/>
      <c r="AK113" s="9"/>
      <c r="AL113" s="9"/>
      <c r="AM113" s="9"/>
      <c r="AN113" s="9"/>
    </row>
    <row r="114" spans="12:40" ht="21.75" customHeight="1">
      <c r="L114" s="2"/>
      <c r="M114" s="2"/>
      <c r="N114" s="31"/>
      <c r="O114" s="2"/>
      <c r="Q114" s="2"/>
      <c r="R114" s="40"/>
      <c r="S114" s="40"/>
      <c r="T114" s="40"/>
      <c r="U114" s="94"/>
      <c r="V114" s="40"/>
      <c r="W114" s="3"/>
      <c r="X114" s="8"/>
      <c r="Y114" s="8"/>
      <c r="Z114" s="8"/>
      <c r="AK114" s="9"/>
      <c r="AL114" s="9"/>
      <c r="AM114" s="9"/>
      <c r="AN114" s="9"/>
    </row>
    <row r="115" spans="12:40" ht="21.75" customHeight="1">
      <c r="L115" s="2"/>
      <c r="M115" s="2"/>
      <c r="N115" s="31"/>
      <c r="O115" s="2"/>
      <c r="Q115" s="2"/>
      <c r="R115" s="40"/>
      <c r="S115" s="40"/>
      <c r="T115" s="40"/>
      <c r="U115" s="94"/>
      <c r="V115" s="40"/>
      <c r="W115" s="3"/>
      <c r="X115" s="8"/>
      <c r="Y115" s="8"/>
      <c r="Z115" s="8"/>
      <c r="AK115" s="9"/>
      <c r="AL115" s="9"/>
      <c r="AM115" s="9"/>
      <c r="AN115" s="9"/>
    </row>
    <row r="116" spans="12:40" ht="21.75" customHeight="1">
      <c r="L116" s="2"/>
      <c r="M116" s="2"/>
      <c r="N116" s="31"/>
      <c r="O116" s="2"/>
      <c r="Q116" s="2"/>
      <c r="R116" s="40"/>
      <c r="S116" s="40"/>
      <c r="T116" s="40"/>
      <c r="U116" s="94"/>
      <c r="V116" s="40"/>
      <c r="W116" s="3"/>
      <c r="X116" s="8"/>
      <c r="Y116" s="8"/>
      <c r="Z116" s="8"/>
      <c r="AK116" s="9"/>
      <c r="AL116" s="9"/>
      <c r="AM116" s="9"/>
      <c r="AN116" s="9"/>
    </row>
    <row r="117" spans="12:40" ht="21.75" customHeight="1">
      <c r="L117" s="2"/>
      <c r="M117" s="2"/>
      <c r="N117" s="31"/>
      <c r="O117" s="2"/>
      <c r="Q117" s="2">
        <f>Q94</f>
        <v>0</v>
      </c>
      <c r="R117" s="142">
        <f>R95</f>
        <v>0</v>
      </c>
      <c r="S117" s="142">
        <f>R117</f>
        <v>0</v>
      </c>
      <c r="T117" s="40"/>
      <c r="U117" s="94"/>
      <c r="V117" s="40"/>
      <c r="W117" s="3"/>
      <c r="X117" s="8"/>
      <c r="Y117" s="8"/>
      <c r="Z117" s="8"/>
      <c r="AK117" s="9"/>
      <c r="AL117" s="9"/>
      <c r="AM117" s="9"/>
      <c r="AN117" s="9"/>
    </row>
    <row r="118" spans="12:40" ht="21.75" customHeight="1">
      <c r="L118" s="2"/>
      <c r="M118" s="2"/>
      <c r="N118" s="31"/>
      <c r="O118" s="2"/>
      <c r="Q118" s="2">
        <f>IF(F27&gt;0,1,0)</f>
        <v>0</v>
      </c>
      <c r="R118" s="142">
        <f>R96</f>
        <v>0</v>
      </c>
      <c r="S118" s="142">
        <f>R118</f>
        <v>0</v>
      </c>
      <c r="T118" s="50"/>
      <c r="U118" s="94"/>
      <c r="V118" s="40"/>
      <c r="W118" s="3"/>
      <c r="X118" s="8"/>
      <c r="Y118" s="8"/>
      <c r="Z118" s="8"/>
      <c r="AK118" s="9"/>
      <c r="AL118" s="9"/>
      <c r="AM118" s="9"/>
      <c r="AN118" s="9"/>
    </row>
    <row r="119" spans="12:40" ht="21.75" customHeight="1">
      <c r="L119" s="2"/>
      <c r="M119" s="2"/>
      <c r="N119" s="31"/>
      <c r="O119" s="2"/>
      <c r="Q119" s="2">
        <f>IF(F29&gt;0,1,0)</f>
        <v>0</v>
      </c>
      <c r="R119" s="92">
        <f>IF(R117+R118=1,1,0)</f>
        <v>0</v>
      </c>
      <c r="S119" s="92">
        <f>IF(S117+S118=0,1,0)</f>
        <v>1</v>
      </c>
      <c r="T119" s="50"/>
      <c r="U119" s="94"/>
      <c r="V119" s="40"/>
      <c r="W119" s="3"/>
      <c r="X119" s="8"/>
      <c r="Y119" s="8"/>
      <c r="Z119" s="8"/>
      <c r="AK119" s="9"/>
      <c r="AL119" s="9"/>
      <c r="AM119" s="9"/>
      <c r="AN119" s="9"/>
    </row>
    <row r="120" spans="12:40" ht="21.75" customHeight="1">
      <c r="L120" s="2"/>
      <c r="M120" s="2"/>
      <c r="N120" s="31"/>
      <c r="O120" s="2"/>
      <c r="Q120" s="2"/>
      <c r="S120" s="40"/>
      <c r="T120" s="40">
        <f>IF(F31="",0,IF(F33="",0,IF(F35="",0,1)))</f>
        <v>0</v>
      </c>
      <c r="U120" s="94"/>
      <c r="V120" s="40"/>
      <c r="W120" s="3"/>
      <c r="X120" s="8"/>
      <c r="Y120" s="8"/>
      <c r="Z120" s="8"/>
      <c r="AK120" s="9"/>
      <c r="AL120" s="9"/>
      <c r="AM120" s="9"/>
      <c r="AN120" s="9"/>
    </row>
    <row r="121" spans="12:40" ht="21.75" customHeight="1">
      <c r="L121" s="2"/>
      <c r="M121" s="2"/>
      <c r="N121" s="31"/>
      <c r="O121" s="2"/>
      <c r="Q121" s="2"/>
      <c r="R121" s="40"/>
      <c r="S121" s="44">
        <f>S109*S110*S111*S112*S119</f>
        <v>0</v>
      </c>
      <c r="T121" s="40"/>
      <c r="U121" s="94"/>
      <c r="V121" s="40"/>
      <c r="W121" s="3"/>
      <c r="X121" s="8"/>
      <c r="Y121" s="8"/>
      <c r="Z121" s="8"/>
      <c r="AK121" s="9"/>
      <c r="AL121" s="9"/>
      <c r="AM121" s="9"/>
      <c r="AN121" s="9"/>
    </row>
    <row r="122" spans="12:40" ht="21.75" customHeight="1">
      <c r="L122" s="2"/>
      <c r="M122" s="2"/>
      <c r="N122" s="31"/>
      <c r="O122" s="2"/>
      <c r="Q122" s="2"/>
      <c r="R122" s="93">
        <f>R109*R110*R111*R112*R119</f>
        <v>0</v>
      </c>
      <c r="S122" s="40">
        <f>S101</f>
        <v>0</v>
      </c>
      <c r="T122" s="44"/>
      <c r="U122" s="94"/>
      <c r="V122" s="40"/>
      <c r="W122" s="3"/>
      <c r="X122" s="8"/>
      <c r="Y122" s="8"/>
      <c r="Z122" s="8"/>
      <c r="AK122" s="9"/>
      <c r="AL122" s="9"/>
      <c r="AM122" s="9"/>
      <c r="AN122" s="9"/>
    </row>
    <row r="123" spans="12:40" ht="21.75" customHeight="1">
      <c r="L123" s="2"/>
      <c r="M123" s="2"/>
      <c r="N123" s="31"/>
      <c r="O123" s="2"/>
      <c r="Q123" s="2"/>
      <c r="R123" s="92"/>
      <c r="S123" s="40">
        <f>S102</f>
        <v>0</v>
      </c>
      <c r="T123" s="144">
        <f>IF(F33&gt;0,1,0)</f>
        <v>0</v>
      </c>
      <c r="U123" s="94"/>
      <c r="V123" s="40"/>
      <c r="W123" s="3"/>
      <c r="X123" s="8"/>
      <c r="Y123" s="8"/>
      <c r="Z123" s="8"/>
      <c r="AK123" s="9"/>
      <c r="AL123" s="9"/>
      <c r="AM123" s="9"/>
      <c r="AN123" s="9"/>
    </row>
    <row r="124" spans="12:40" ht="21.75" customHeight="1">
      <c r="L124" s="2"/>
      <c r="M124" s="2"/>
      <c r="N124" s="31"/>
      <c r="O124" s="2"/>
      <c r="T124" s="144">
        <f>IF(F35&gt;0,1,0)</f>
        <v>0</v>
      </c>
      <c r="U124" s="46"/>
      <c r="V124" s="2"/>
      <c r="W124" s="3"/>
      <c r="X124" s="8"/>
      <c r="Y124" s="8"/>
      <c r="Z124" s="8"/>
      <c r="AK124" s="9"/>
      <c r="AL124" s="9"/>
      <c r="AM124" s="9"/>
      <c r="AN124" s="9"/>
    </row>
    <row r="125" spans="12:40" ht="21.75" customHeight="1">
      <c r="L125" s="2"/>
      <c r="M125" s="2"/>
      <c r="N125" s="31"/>
      <c r="O125" s="2"/>
      <c r="T125" s="145">
        <f>T123+T124</f>
        <v>0</v>
      </c>
      <c r="U125" s="46"/>
      <c r="V125" s="2"/>
      <c r="W125" s="3"/>
      <c r="X125" s="8"/>
      <c r="Y125" s="8"/>
      <c r="Z125" s="8"/>
      <c r="AK125" s="9"/>
      <c r="AL125" s="9"/>
      <c r="AM125" s="9"/>
      <c r="AN125" s="9"/>
    </row>
    <row r="126" spans="12:40" ht="21.75" customHeight="1">
      <c r="L126" s="2"/>
      <c r="M126" s="2"/>
      <c r="N126" s="31"/>
      <c r="O126" s="2"/>
      <c r="Q126" s="2"/>
      <c r="R126" s="51"/>
      <c r="S126" s="52"/>
      <c r="T126" s="40"/>
      <c r="U126" s="46"/>
      <c r="V126" s="2"/>
      <c r="W126" s="3"/>
      <c r="X126" s="8"/>
      <c r="Y126" s="8"/>
      <c r="Z126" s="8"/>
      <c r="AK126" s="9"/>
      <c r="AL126" s="9"/>
      <c r="AM126" s="9"/>
      <c r="AN126" s="9"/>
    </row>
    <row r="127" spans="12:40" ht="21.75" customHeight="1">
      <c r="L127" s="2"/>
      <c r="M127" s="2"/>
      <c r="N127" s="31"/>
      <c r="O127" s="2"/>
      <c r="Q127" s="43">
        <f>Q109*Q111*Q112*Q117*Q118*Q119</f>
        <v>0</v>
      </c>
      <c r="R127" s="43">
        <f>R122</f>
        <v>0</v>
      </c>
      <c r="S127" s="43">
        <f>S121*S122*S123</f>
        <v>0</v>
      </c>
      <c r="T127" s="43">
        <f>T109*T110*T111*T112*T120</f>
        <v>0</v>
      </c>
      <c r="U127" s="44"/>
      <c r="W127" s="3"/>
      <c r="X127" s="8"/>
      <c r="Y127" s="8"/>
      <c r="Z127" s="8"/>
      <c r="AK127" s="9"/>
      <c r="AL127" s="9"/>
      <c r="AM127" s="9"/>
      <c r="AN127" s="9"/>
    </row>
    <row r="128" spans="12:40" ht="21.75" customHeight="1">
      <c r="L128" s="2"/>
      <c r="M128" s="2"/>
      <c r="N128" s="31"/>
      <c r="O128" s="2"/>
      <c r="Q128" s="45" t="s">
        <v>5</v>
      </c>
      <c r="R128" s="45" t="s">
        <v>6</v>
      </c>
      <c r="S128" s="45" t="s">
        <v>7</v>
      </c>
      <c r="T128" s="45" t="s">
        <v>8</v>
      </c>
      <c r="U128" s="44"/>
      <c r="V128" s="37">
        <v>2</v>
      </c>
      <c r="W128" s="3"/>
      <c r="X128" s="8"/>
      <c r="Y128" s="8"/>
      <c r="Z128" s="8"/>
      <c r="AK128" s="9"/>
      <c r="AL128" s="9"/>
      <c r="AM128" s="9"/>
      <c r="AN128" s="9"/>
    </row>
    <row r="129" spans="12:40" ht="21.75" customHeight="1">
      <c r="L129" s="2"/>
      <c r="M129" s="2"/>
      <c r="N129" s="31"/>
      <c r="O129" s="2"/>
      <c r="Q129" s="47" t="s">
        <v>24</v>
      </c>
      <c r="R129" s="47" t="s">
        <v>24</v>
      </c>
      <c r="S129" s="47" t="s">
        <v>24</v>
      </c>
      <c r="T129" s="47" t="s">
        <v>24</v>
      </c>
      <c r="U129" s="95"/>
      <c r="V129" s="47" t="s">
        <v>26</v>
      </c>
      <c r="W129" s="102" t="s">
        <v>78</v>
      </c>
      <c r="X129" s="103" t="s">
        <v>11</v>
      </c>
      <c r="Y129" s="103" t="s">
        <v>12</v>
      </c>
      <c r="Z129" s="7" t="s">
        <v>31</v>
      </c>
      <c r="AA129" s="7" t="s">
        <v>234</v>
      </c>
      <c r="AB129" s="6" t="s">
        <v>0</v>
      </c>
      <c r="AC129" s="6" t="s">
        <v>79</v>
      </c>
      <c r="AD129" s="6" t="s">
        <v>236</v>
      </c>
      <c r="AE129" s="153" t="s">
        <v>80</v>
      </c>
      <c r="AF129" s="6" t="s">
        <v>237</v>
      </c>
      <c r="AG129" s="6" t="s">
        <v>238</v>
      </c>
      <c r="AH129" s="6" t="s">
        <v>239</v>
      </c>
      <c r="AI129" s="3" t="s">
        <v>13</v>
      </c>
      <c r="AJ129" s="6" t="s">
        <v>14</v>
      </c>
      <c r="AK129" s="9"/>
      <c r="AL129" s="9"/>
      <c r="AM129" s="9"/>
      <c r="AN129" s="9"/>
    </row>
    <row r="130" spans="12:40" ht="21.75" customHeight="1">
      <c r="L130" s="2"/>
      <c r="M130" s="2"/>
      <c r="N130" s="31"/>
      <c r="O130" s="2"/>
      <c r="Q130" s="98">
        <f>ROUND(IF(Q127=0,0,F27+F29),2)</f>
        <v>0</v>
      </c>
      <c r="R130" s="98">
        <f>ROUND(IF(R127=0,0,IF(R117=0,F29*2,F27*2)),2)</f>
        <v>0</v>
      </c>
      <c r="S130" s="98">
        <f>ROUND(IF(S127=0,0,F31*2),2)</f>
        <v>0</v>
      </c>
      <c r="T130" s="98">
        <f>ROUND(IF(T127=0,0,IF(T125=0,0,IF(T125=2,F33+F35,IF(T123=0,F35*2,F33*2)))),2)</f>
        <v>0</v>
      </c>
      <c r="U130" s="96"/>
      <c r="V130" s="49">
        <f>Q130+R130+S130+T130+U130</f>
        <v>0</v>
      </c>
      <c r="W130" s="104">
        <f>W106</f>
        <v>0</v>
      </c>
      <c r="X130" s="104">
        <f>ROUND(IF(V130-W130&gt;0,V130-W130,0),2)</f>
        <v>0</v>
      </c>
      <c r="Y130" s="105">
        <f>ROUND(IF(V130=0,0,X130/V130),4)</f>
        <v>0</v>
      </c>
      <c r="Z130" s="26">
        <f>ROUND(V130*Y131,2)</f>
        <v>0</v>
      </c>
      <c r="AA130" s="26">
        <f>ROUND(W130*Y131,2)</f>
        <v>0</v>
      </c>
      <c r="AB130" s="60">
        <f>AB106</f>
        <v>0</v>
      </c>
      <c r="AC130" s="26">
        <f>IF(Y131=0,0,$F$41)</f>
        <v>0</v>
      </c>
      <c r="AD130" s="26">
        <f>IF(Y131=0,0,IF(Z130-AA130&lt;0,0,Z130-AA130))</f>
        <v>0</v>
      </c>
      <c r="AE130" s="154"/>
      <c r="AF130" s="26">
        <f>ROUND(IF((AD130*AB131)-(AC130*534)&lt;0,0,(AD130*AB131)-(AC130*534)),2)</f>
        <v>0</v>
      </c>
      <c r="AG130" s="26">
        <f>AG106</f>
        <v>0</v>
      </c>
      <c r="AH130" s="26">
        <f>IF(Y131=0,0,IF(W99=1,AG130,AF130))</f>
        <v>0</v>
      </c>
      <c r="AI130" s="26">
        <f>IF($F$10="",0,IF(Y131=0,0,IF(Y132=0,1000,IF($F$10=0,2000,IF($F$10&lt;=5,4000,IF($F$10&lt;=20,8000,IF($F$10&lt;=50,15000,30000)))))))</f>
        <v>0</v>
      </c>
      <c r="AJ130" s="26">
        <f>IF(Y131=0,0,IF(AH130&gt;AI130,AH130,AI130))</f>
        <v>0</v>
      </c>
      <c r="AK130" s="9"/>
      <c r="AL130" s="9"/>
      <c r="AM130" s="9"/>
      <c r="AN130" s="9"/>
    </row>
    <row r="131" spans="12:40" ht="21.75" customHeight="1">
      <c r="L131" s="2"/>
      <c r="M131" s="2"/>
      <c r="N131" s="31"/>
      <c r="O131" s="2"/>
      <c r="R131" s="53"/>
      <c r="S131" s="34"/>
      <c r="T131" s="3"/>
      <c r="U131" s="3"/>
      <c r="V131" s="3"/>
      <c r="W131" s="104"/>
      <c r="X131" s="106"/>
      <c r="Y131" s="107">
        <f>IF(P67&gt;0,0,IF(V130&lt;=300,0,IF(Y132=1,1,IF(Y130&gt;=20%,1,0))))</f>
        <v>0</v>
      </c>
      <c r="Z131" s="8"/>
      <c r="AB131" s="108">
        <f>ROUND(IF(W99=1,0,IF(Y131=0,0,IF(AB130&lt;0.2,0.2,AB130))),3)</f>
        <v>0</v>
      </c>
      <c r="AK131" s="9"/>
      <c r="AL131" s="9"/>
      <c r="AM131" s="9"/>
      <c r="AN131" s="9"/>
    </row>
    <row r="132" spans="14:40" ht="21.75" customHeight="1">
      <c r="N132" s="26"/>
      <c r="P132" s="37">
        <v>3</v>
      </c>
      <c r="Q132" s="28">
        <f>IF(F25="",0,1)</f>
        <v>0</v>
      </c>
      <c r="R132" s="28">
        <f>Q132</f>
        <v>0</v>
      </c>
      <c r="S132" s="52"/>
      <c r="T132" s="26"/>
      <c r="U132" s="2"/>
      <c r="V132" s="2"/>
      <c r="W132" s="3"/>
      <c r="X132" s="149" t="s">
        <v>231</v>
      </c>
      <c r="Y132" s="148">
        <f>Y108</f>
        <v>0</v>
      </c>
      <c r="Z132" s="8"/>
      <c r="AK132" s="9"/>
      <c r="AL132" s="9"/>
      <c r="AM132" s="9"/>
      <c r="AN132" s="9"/>
    </row>
    <row r="133" spans="14:40" ht="21.75" customHeight="1">
      <c r="N133" s="26"/>
      <c r="Q133" s="2">
        <f>IF(V72=3,1,0)</f>
        <v>0</v>
      </c>
      <c r="R133" s="40">
        <f>Q133</f>
        <v>0</v>
      </c>
      <c r="S133" s="40">
        <f>R133</f>
        <v>0</v>
      </c>
      <c r="U133" s="40"/>
      <c r="V133" s="2"/>
      <c r="W133" s="3"/>
      <c r="X133" s="8"/>
      <c r="Y133" s="8"/>
      <c r="Z133" s="8"/>
      <c r="AK133" s="9"/>
      <c r="AL133" s="9"/>
      <c r="AM133" s="9"/>
      <c r="AN133" s="9"/>
    </row>
    <row r="134" spans="14:40" ht="21.75" customHeight="1">
      <c r="N134" s="26"/>
      <c r="Q134" s="2"/>
      <c r="R134" s="40">
        <f>IF(Q140=1,0,1)</f>
        <v>1</v>
      </c>
      <c r="S134" s="40">
        <f>IF(Q140=1,0,IF(R140=1,0,1))</f>
        <v>1</v>
      </c>
      <c r="U134" s="40"/>
      <c r="V134" s="2"/>
      <c r="W134" s="3"/>
      <c r="X134" s="8"/>
      <c r="Y134" s="8"/>
      <c r="Z134" s="8"/>
      <c r="AK134" s="9"/>
      <c r="AL134" s="9"/>
      <c r="AM134" s="9"/>
      <c r="AN134" s="9"/>
    </row>
    <row r="135" spans="14:40" ht="21.75" customHeight="1">
      <c r="N135" s="26"/>
      <c r="Q135" s="2">
        <f>Q111</f>
        <v>0</v>
      </c>
      <c r="R135" s="40">
        <f>Q135</f>
        <v>0</v>
      </c>
      <c r="S135" s="40">
        <f>R135</f>
        <v>0</v>
      </c>
      <c r="U135" s="40"/>
      <c r="V135" s="2"/>
      <c r="W135" s="3"/>
      <c r="X135" s="8"/>
      <c r="Y135" s="8"/>
      <c r="Z135" s="8"/>
      <c r="AK135" s="9"/>
      <c r="AL135" s="9"/>
      <c r="AM135" s="9"/>
      <c r="AN135" s="9"/>
    </row>
    <row r="136" spans="14:40" ht="21.75" customHeight="1">
      <c r="N136" s="26"/>
      <c r="Q136" s="2">
        <f>IF(F27&gt;0,1,0)</f>
        <v>0</v>
      </c>
      <c r="R136" s="40">
        <f>IF(F27&lt;=0,1,0)</f>
        <v>1</v>
      </c>
      <c r="S136" s="40">
        <f>IF(F31&gt;0,0,1)</f>
        <v>1</v>
      </c>
      <c r="T136" s="144">
        <f>IF(F33&gt;0,1,0)</f>
        <v>0</v>
      </c>
      <c r="U136" s="40"/>
      <c r="V136" s="2"/>
      <c r="W136" s="3"/>
      <c r="X136" s="8"/>
      <c r="Y136" s="8"/>
      <c r="Z136" s="8"/>
      <c r="AK136" s="9"/>
      <c r="AL136" s="9"/>
      <c r="AM136" s="9"/>
      <c r="AN136" s="9"/>
    </row>
    <row r="137" spans="14:40" ht="21.75" customHeight="1">
      <c r="N137" s="26"/>
      <c r="R137" s="44">
        <f>R132*R133*R134*R135*R136</f>
        <v>0</v>
      </c>
      <c r="S137" s="44">
        <f>S133*S134*S135*S136</f>
        <v>0</v>
      </c>
      <c r="T137" s="144">
        <f>IF(F35&gt;0,1,0)</f>
        <v>0</v>
      </c>
      <c r="U137" s="54"/>
      <c r="V137" s="41"/>
      <c r="W137" s="3"/>
      <c r="X137" s="8"/>
      <c r="Y137" s="8"/>
      <c r="Z137" s="8"/>
      <c r="AK137" s="9"/>
      <c r="AL137" s="9"/>
      <c r="AM137" s="9"/>
      <c r="AN137" s="9"/>
    </row>
    <row r="138" spans="14:40" ht="21.75" customHeight="1">
      <c r="N138" s="26"/>
      <c r="R138" s="40">
        <f>S122</f>
        <v>0</v>
      </c>
      <c r="S138" s="54">
        <f>IF(F31="",0,1)</f>
        <v>0</v>
      </c>
      <c r="T138" s="145">
        <f>T136+T137</f>
        <v>0</v>
      </c>
      <c r="U138" s="54"/>
      <c r="V138" s="41"/>
      <c r="W138" s="3"/>
      <c r="X138" s="8"/>
      <c r="Y138" s="8"/>
      <c r="Z138" s="8"/>
      <c r="AK138" s="9"/>
      <c r="AL138" s="9"/>
      <c r="AM138" s="9"/>
      <c r="AN138" s="9"/>
    </row>
    <row r="139" spans="14:40" ht="21.75" customHeight="1">
      <c r="N139" s="26"/>
      <c r="Q139" s="2"/>
      <c r="R139" s="40">
        <f>IF(F31&gt;0,1,0)</f>
        <v>0</v>
      </c>
      <c r="S139" s="54"/>
      <c r="U139" s="54"/>
      <c r="V139" s="41"/>
      <c r="W139" s="3"/>
      <c r="X139" s="8"/>
      <c r="Y139" s="8"/>
      <c r="Z139" s="8"/>
      <c r="AK139" s="9"/>
      <c r="AL139" s="9"/>
      <c r="AM139" s="9"/>
      <c r="AN139" s="9"/>
    </row>
    <row r="140" spans="14:40" ht="21.75" customHeight="1">
      <c r="N140" s="26"/>
      <c r="Q140" s="43">
        <f>Q132*Q133*Q135*Q136</f>
        <v>0</v>
      </c>
      <c r="R140" s="43">
        <f>R137*R138*R139</f>
        <v>0</v>
      </c>
      <c r="S140" s="43">
        <f>S137*S138</f>
        <v>0</v>
      </c>
      <c r="U140" s="54"/>
      <c r="V140" s="41"/>
      <c r="W140" s="3"/>
      <c r="X140" s="8"/>
      <c r="Y140" s="8"/>
      <c r="Z140" s="8"/>
      <c r="AK140" s="9"/>
      <c r="AL140" s="9"/>
      <c r="AM140" s="9"/>
      <c r="AN140" s="9"/>
    </row>
    <row r="141" spans="14:40" ht="21.75" customHeight="1">
      <c r="N141" s="26"/>
      <c r="Q141" s="43" t="s">
        <v>22</v>
      </c>
      <c r="R141" s="55" t="s">
        <v>23</v>
      </c>
      <c r="S141" s="55" t="s">
        <v>77</v>
      </c>
      <c r="U141" s="54"/>
      <c r="V141" s="37">
        <v>3</v>
      </c>
      <c r="W141" s="3"/>
      <c r="X141" s="8"/>
      <c r="Y141" s="8"/>
      <c r="Z141" s="8"/>
      <c r="AK141" s="9"/>
      <c r="AL141" s="9"/>
      <c r="AM141" s="9"/>
      <c r="AN141" s="9"/>
    </row>
    <row r="142" spans="14:40" ht="21.75" customHeight="1">
      <c r="N142" s="26"/>
      <c r="Q142" s="47" t="s">
        <v>25</v>
      </c>
      <c r="R142" s="47" t="s">
        <v>25</v>
      </c>
      <c r="S142" s="47" t="s">
        <v>25</v>
      </c>
      <c r="U142" s="54"/>
      <c r="V142" s="47" t="s">
        <v>27</v>
      </c>
      <c r="W142" s="102" t="s">
        <v>235</v>
      </c>
      <c r="X142" s="103" t="s">
        <v>11</v>
      </c>
      <c r="Y142" s="103" t="s">
        <v>12</v>
      </c>
      <c r="Z142" s="7" t="s">
        <v>32</v>
      </c>
      <c r="AA142" s="7" t="s">
        <v>235</v>
      </c>
      <c r="AB142" s="6" t="s">
        <v>0</v>
      </c>
      <c r="AC142" s="6" t="s">
        <v>79</v>
      </c>
      <c r="AD142" s="6" t="s">
        <v>236</v>
      </c>
      <c r="AE142" s="153" t="s">
        <v>80</v>
      </c>
      <c r="AF142" s="6" t="s">
        <v>237</v>
      </c>
      <c r="AG142" s="6" t="s">
        <v>238</v>
      </c>
      <c r="AH142" s="6" t="s">
        <v>239</v>
      </c>
      <c r="AI142" s="3" t="s">
        <v>13</v>
      </c>
      <c r="AJ142" s="6" t="s">
        <v>14</v>
      </c>
      <c r="AK142" s="9"/>
      <c r="AL142" s="9"/>
      <c r="AM142" s="9"/>
      <c r="AN142" s="9"/>
    </row>
    <row r="143" spans="14:40" ht="21.75" customHeight="1">
      <c r="N143" s="26"/>
      <c r="Q143" s="97">
        <f>ROUND(IF(Q140=0,0,F27/6),2)</f>
        <v>0</v>
      </c>
      <c r="R143" s="97">
        <f>ROUND(IF(R140=0,0,F31*2),2)</f>
        <v>0</v>
      </c>
      <c r="S143" s="97">
        <f>ROUND(IF(S140=0,0,IF(T138=2,F33+F35,IF(T123=0,F35*2,F33*2))),2)</f>
        <v>0</v>
      </c>
      <c r="U143" s="3"/>
      <c r="V143" s="49">
        <f>Q143+R143+S143</f>
        <v>0</v>
      </c>
      <c r="W143" s="104">
        <f>W130</f>
        <v>0</v>
      </c>
      <c r="X143" s="104">
        <f>ROUND(IF(V143-W143&gt;0,V143-W143,0),2)</f>
        <v>0</v>
      </c>
      <c r="Y143" s="105">
        <f>ROUND(IF(V143=0,0,X143/V143),4)</f>
        <v>0</v>
      </c>
      <c r="Z143" s="26">
        <f>ROUND(V143*Y144,2)</f>
        <v>0</v>
      </c>
      <c r="AA143" s="26">
        <f>ROUND(W143*Y144,2)</f>
        <v>0</v>
      </c>
      <c r="AB143" s="60">
        <f>AB130</f>
        <v>0</v>
      </c>
      <c r="AC143" s="26">
        <f>IF(Y144=0,0,$F$41)</f>
        <v>0</v>
      </c>
      <c r="AD143" s="26">
        <f>IF(Y144=0,0,IF(Z143-AA143&lt;0,0,Z143-AA143))</f>
        <v>0</v>
      </c>
      <c r="AE143" s="154"/>
      <c r="AF143" s="26">
        <f>ROUND(IF((AD143*AB144)-(AC143*534)&lt;0,0,(AD143*AB144)-(AC143*534)),2)</f>
        <v>0</v>
      </c>
      <c r="AG143" s="26">
        <f>AG130</f>
        <v>0</v>
      </c>
      <c r="AH143" s="26">
        <f>IF(Y144=0,0,IF(W99=1,AG143,AF143))</f>
        <v>0</v>
      </c>
      <c r="AI143" s="26">
        <f>IF($F$10="",0,IF(Y144=0,0,IF(Y145=0,1000,IF($F$10=0,2000,IF($F$10&lt;=5,4000,IF($F$10&lt;=20,8000,IF($F$10&lt;=50,15000,30000)))))))</f>
        <v>0</v>
      </c>
      <c r="AJ143" s="26">
        <f>IF(Y144=0,0,IF(AH143&gt;AI143,AH143,AI143))</f>
        <v>0</v>
      </c>
      <c r="AK143" s="9"/>
      <c r="AL143" s="9"/>
      <c r="AM143" s="9"/>
      <c r="AN143" s="9"/>
    </row>
    <row r="144" spans="14:40" ht="21.75" customHeight="1">
      <c r="N144" s="26"/>
      <c r="Q144" s="2"/>
      <c r="R144" s="51"/>
      <c r="S144" s="56"/>
      <c r="T144" s="41"/>
      <c r="U144" s="41"/>
      <c r="V144" s="41"/>
      <c r="W144" s="104"/>
      <c r="X144" s="106"/>
      <c r="Y144" s="107">
        <f>IF(P67&gt;0,0,IF(V143&lt;=300,0,IF(Y145=1,1,IF(Y143&gt;=20%,1,0))))</f>
        <v>0</v>
      </c>
      <c r="Z144" s="8"/>
      <c r="AB144" s="108">
        <f>ROUND(IF(W99=1,0,IF(Y144=0,0,IF(AB143&lt;0.2,0.2,AB143))),3)</f>
        <v>0</v>
      </c>
      <c r="AK144" s="9"/>
      <c r="AL144" s="9"/>
      <c r="AM144" s="9"/>
      <c r="AN144" s="9"/>
    </row>
    <row r="145" spans="14:47" ht="21.75" customHeight="1">
      <c r="N145" s="26"/>
      <c r="Q145" s="2"/>
      <c r="R145" s="51"/>
      <c r="S145" s="56"/>
      <c r="T145" s="41"/>
      <c r="U145" s="57"/>
      <c r="W145" s="8"/>
      <c r="X145" s="149" t="s">
        <v>231</v>
      </c>
      <c r="Y145" s="148">
        <f>Y108</f>
        <v>0</v>
      </c>
      <c r="Z145" s="8"/>
      <c r="AK145" s="9"/>
      <c r="AL145" s="9"/>
      <c r="AM145" s="9"/>
      <c r="AN145" s="9"/>
      <c r="AO145" s="61"/>
      <c r="AP145" s="61"/>
      <c r="AQ145" s="61"/>
      <c r="AR145" s="61"/>
      <c r="AS145" s="61"/>
      <c r="AT145" s="61"/>
      <c r="AU145" s="61"/>
    </row>
    <row r="146" spans="14:47" ht="21.75" customHeight="1">
      <c r="N146" s="26"/>
      <c r="Q146" s="2"/>
      <c r="R146" s="51"/>
      <c r="S146" s="56"/>
      <c r="T146" s="41"/>
      <c r="U146" s="57"/>
      <c r="V146" s="58" t="s">
        <v>28</v>
      </c>
      <c r="W146" s="62">
        <f>V72</f>
        <v>0</v>
      </c>
      <c r="X146" s="8"/>
      <c r="Y146" s="8"/>
      <c r="Z146" s="8"/>
      <c r="AK146" s="9"/>
      <c r="AL146" s="9"/>
      <c r="AM146" s="9"/>
      <c r="AN146" s="9"/>
      <c r="AO146" s="61"/>
      <c r="AP146" s="61"/>
      <c r="AQ146" s="61"/>
      <c r="AR146" s="61"/>
      <c r="AS146" s="61"/>
      <c r="AT146" s="61"/>
      <c r="AU146" s="61"/>
    </row>
    <row r="147" spans="14:47" ht="38.25" customHeight="1">
      <c r="N147" s="26"/>
      <c r="Q147" s="2"/>
      <c r="R147" s="51"/>
      <c r="S147" s="56"/>
      <c r="T147" s="41"/>
      <c r="U147" s="57"/>
      <c r="V147" s="59" t="s">
        <v>29</v>
      </c>
      <c r="W147" s="64" t="s">
        <v>30</v>
      </c>
      <c r="X147" s="66" t="s">
        <v>11</v>
      </c>
      <c r="Y147" s="67">
        <f>IF($W$146=1,Y106,IF($W$146=2,Y130,IF($W$146=3,Y143,0)))</f>
        <v>0</v>
      </c>
      <c r="Z147" s="65"/>
      <c r="AA147" s="65"/>
      <c r="AB147" s="65"/>
      <c r="AC147" s="65"/>
      <c r="AD147" s="65"/>
      <c r="AE147" s="65"/>
      <c r="AF147" s="65"/>
      <c r="AG147" s="65"/>
      <c r="AH147" s="65"/>
      <c r="AI147" s="65"/>
      <c r="AJ147" s="65"/>
      <c r="AK147" s="73"/>
      <c r="AL147" s="73"/>
      <c r="AM147" s="74"/>
      <c r="AN147" s="74"/>
      <c r="AO147" s="76"/>
      <c r="AP147" s="76"/>
      <c r="AQ147" s="76"/>
      <c r="AR147" s="76"/>
      <c r="AS147" s="76"/>
      <c r="AT147" s="76"/>
      <c r="AU147" s="61"/>
    </row>
    <row r="148" spans="14:47" ht="21.75" customHeight="1">
      <c r="N148" s="26"/>
      <c r="Q148" s="2"/>
      <c r="R148" s="51"/>
      <c r="S148" s="56"/>
      <c r="T148" s="41"/>
      <c r="U148" s="57"/>
      <c r="V148" s="63">
        <f>IF($W$146=1,V106,IF($W$146=2,V130,IF($W$146=3,V143,0)))</f>
        <v>0</v>
      </c>
      <c r="W148" s="63">
        <f>IF($W$146=1,W106,IF($W$146=2,W130,IF($W$146=3,W143,0)))</f>
        <v>0</v>
      </c>
      <c r="X148" s="63">
        <f>IF($W$146=1,X106,IF($W$146=2,X130,IF($W$146=3,X143,0)))</f>
        <v>0</v>
      </c>
      <c r="Y148" s="62">
        <f>IF($W$146=1,Y107,IF($W$146=2,Y131,IF($W$146=3,Y144,0)))</f>
        <v>0</v>
      </c>
      <c r="Z148" s="63">
        <f>IF($W$146=1,Z106,IF($W$146=2,Z130,IF($W$146=3,Z143,0)))</f>
        <v>0</v>
      </c>
      <c r="AA148" s="63">
        <f>IF($W$146=1,AA106,IF($W$146=2,AA130,IF($W$146=3,AA143,0)))</f>
        <v>0</v>
      </c>
      <c r="AB148" s="109">
        <f>IF($W$146=1,AB107,IF($W$146=2,AB131,IF($W$146=3,AB144,0)))</f>
        <v>0</v>
      </c>
      <c r="AC148" s="68">
        <f>IF($W$146=1,AC106,IF($W$146=2,AC130,IF($W$146=3,AC143,0)))</f>
        <v>0</v>
      </c>
      <c r="AD148" s="63"/>
      <c r="AE148" s="154">
        <f aca="true" t="shared" si="3" ref="AE148:AJ148">IF($W$146=1,AE106,IF($W$146=2,AE130,IF($W$146=3,AE143,0)))</f>
        <v>0</v>
      </c>
      <c r="AF148" s="63">
        <f t="shared" si="3"/>
        <v>0</v>
      </c>
      <c r="AG148" s="63">
        <f t="shared" si="3"/>
        <v>0</v>
      </c>
      <c r="AH148" s="63">
        <f t="shared" si="3"/>
        <v>0</v>
      </c>
      <c r="AI148" s="63">
        <f t="shared" si="3"/>
        <v>0</v>
      </c>
      <c r="AJ148" s="63">
        <f t="shared" si="3"/>
        <v>0</v>
      </c>
      <c r="AK148" s="75"/>
      <c r="AL148" s="75"/>
      <c r="AM148" s="75"/>
      <c r="AN148" s="75"/>
      <c r="AO148" s="48"/>
      <c r="AP148" s="48"/>
      <c r="AQ148" s="48"/>
      <c r="AR148" s="48"/>
      <c r="AS148" s="48"/>
      <c r="AT148" s="61"/>
      <c r="AU148" s="61"/>
    </row>
    <row r="149" spans="14:47" ht="21.75" customHeight="1">
      <c r="N149" s="26"/>
      <c r="W149" s="8"/>
      <c r="X149" s="8"/>
      <c r="Y149" s="8"/>
      <c r="Z149" s="8"/>
      <c r="AK149" s="9"/>
      <c r="AL149" s="9"/>
      <c r="AM149" s="9"/>
      <c r="AN149" s="9"/>
      <c r="AO149" s="61"/>
      <c r="AP149" s="61"/>
      <c r="AQ149" s="61"/>
      <c r="AR149" s="61"/>
      <c r="AS149" s="61"/>
      <c r="AT149" s="61"/>
      <c r="AU149" s="61"/>
    </row>
    <row r="150" spans="37:47" ht="21.75" customHeight="1">
      <c r="AK150" s="9"/>
      <c r="AL150" s="9"/>
      <c r="AM150" s="9"/>
      <c r="AN150" s="9"/>
      <c r="AO150" s="61"/>
      <c r="AP150" s="61"/>
      <c r="AQ150" s="61"/>
      <c r="AR150" s="61"/>
      <c r="AS150" s="61"/>
      <c r="AT150" s="61"/>
      <c r="AU150" s="61"/>
    </row>
    <row r="152" ht="21.75" customHeight="1">
      <c r="Y152" s="7" t="s">
        <v>85</v>
      </c>
    </row>
    <row r="153" ht="21.75" customHeight="1">
      <c r="Y153" s="7" t="s">
        <v>86</v>
      </c>
    </row>
    <row r="156" ht="15" customHeight="1" thickBot="1"/>
    <row r="157" spans="16:23" ht="15" customHeight="1">
      <c r="P157" s="155"/>
      <c r="Q157" s="156">
        <f>F18</f>
        <v>0</v>
      </c>
      <c r="R157" s="157"/>
      <c r="S157" s="158" t="str">
        <f>LEFT(Q157,5)</f>
        <v>0</v>
      </c>
      <c r="T157" s="158" t="str">
        <f>LEFT(Q157,7)</f>
        <v>0</v>
      </c>
      <c r="U157" s="158" t="str">
        <f>LEFT(Q157,8)</f>
        <v>0</v>
      </c>
      <c r="V157" s="158">
        <f>Q157</f>
        <v>0</v>
      </c>
      <c r="W157" s="159"/>
    </row>
    <row r="158" spans="16:23" ht="15" customHeight="1">
      <c r="P158" s="160"/>
      <c r="Q158" s="161"/>
      <c r="R158" s="161"/>
      <c r="S158" s="162"/>
      <c r="T158" s="162"/>
      <c r="U158" s="162"/>
      <c r="V158" s="162"/>
      <c r="W158" s="163"/>
    </row>
    <row r="159" spans="16:23" ht="15" customHeight="1">
      <c r="P159" s="160">
        <v>1</v>
      </c>
      <c r="Q159" s="164" t="s">
        <v>87</v>
      </c>
      <c r="R159" s="164" t="s">
        <v>88</v>
      </c>
      <c r="S159" s="162">
        <f>IF(Q159=$S$157,1,0)</f>
        <v>0</v>
      </c>
      <c r="T159" s="162">
        <f>IF(Q159=$T$157,1,0)</f>
        <v>0</v>
      </c>
      <c r="U159" s="162">
        <f>IF(Q159=$U$157,1,0)</f>
        <v>0</v>
      </c>
      <c r="V159" s="162">
        <f>IF(Q159=$V$157,1,0)</f>
        <v>0</v>
      </c>
      <c r="W159" s="163">
        <f>IF(S159+T159+U159+V159&gt;0,P159,0)</f>
        <v>0</v>
      </c>
    </row>
    <row r="160" spans="16:23" ht="15" customHeight="1">
      <c r="P160" s="160">
        <v>2</v>
      </c>
      <c r="Q160" s="164" t="s">
        <v>89</v>
      </c>
      <c r="R160" s="164" t="s">
        <v>90</v>
      </c>
      <c r="S160" s="162">
        <f>IF(Q160=$S$157,1,0)</f>
        <v>0</v>
      </c>
      <c r="T160" s="162">
        <f>IF(Q160=$T$157,1,0)</f>
        <v>0</v>
      </c>
      <c r="U160" s="162">
        <f>IF(Q160=$U$157,1,0)</f>
        <v>0</v>
      </c>
      <c r="V160" s="162">
        <f>IF(Q160=$V$157,1,0)</f>
        <v>0</v>
      </c>
      <c r="W160" s="163">
        <f aca="true" t="shared" si="4" ref="W160:W222">IF(S160+T160+U160+V160&gt;0,P160,0)</f>
        <v>0</v>
      </c>
    </row>
    <row r="161" spans="16:23" ht="15" customHeight="1">
      <c r="P161" s="160">
        <v>3</v>
      </c>
      <c r="Q161" s="164" t="s">
        <v>91</v>
      </c>
      <c r="R161" s="164" t="s">
        <v>92</v>
      </c>
      <c r="S161" s="162">
        <f>IF(Q161=$S$157,1,0)</f>
        <v>0</v>
      </c>
      <c r="T161" s="162">
        <f>IF(Q161=$T$157,1,0)</f>
        <v>0</v>
      </c>
      <c r="U161" s="162">
        <f>IF(Q161=$U$157,1,0)</f>
        <v>0</v>
      </c>
      <c r="V161" s="162">
        <f>IF(Q161=$V$157,1,0)</f>
        <v>0</v>
      </c>
      <c r="W161" s="163">
        <f t="shared" si="4"/>
        <v>0</v>
      </c>
    </row>
    <row r="162" spans="16:23" ht="15" customHeight="1">
      <c r="P162" s="160">
        <v>4</v>
      </c>
      <c r="Q162" s="164" t="s">
        <v>93</v>
      </c>
      <c r="R162" s="164" t="s">
        <v>94</v>
      </c>
      <c r="S162" s="162">
        <f>IF(Q162=$S$157,1,0)</f>
        <v>0</v>
      </c>
      <c r="T162" s="162">
        <f>IF(Q162=$T$157,1,0)</f>
        <v>0</v>
      </c>
      <c r="U162" s="162">
        <f>IF(Q162=$U$157,1,0)</f>
        <v>0</v>
      </c>
      <c r="V162" s="162">
        <f>IF(Q162=$V$157,1,0)</f>
        <v>0</v>
      </c>
      <c r="W162" s="163">
        <f t="shared" si="4"/>
        <v>0</v>
      </c>
    </row>
    <row r="163" spans="16:23" ht="15" customHeight="1">
      <c r="P163" s="160">
        <v>5</v>
      </c>
      <c r="Q163" s="164" t="s">
        <v>95</v>
      </c>
      <c r="R163" s="164" t="s">
        <v>96</v>
      </c>
      <c r="S163" s="162">
        <f>IF(Q163=$S$157,1,0)</f>
        <v>0</v>
      </c>
      <c r="T163" s="162">
        <f>IF(Q163=$T$157,1,0)</f>
        <v>0</v>
      </c>
      <c r="U163" s="162">
        <f>IF(Q163=$U$157,1,0)</f>
        <v>0</v>
      </c>
      <c r="V163" s="162">
        <f>IF(Q163=$V$157,1,0)</f>
        <v>0</v>
      </c>
      <c r="W163" s="163">
        <f t="shared" si="4"/>
        <v>0</v>
      </c>
    </row>
    <row r="164" spans="16:23" ht="15" customHeight="1">
      <c r="P164" s="160">
        <v>6</v>
      </c>
      <c r="Q164" s="164" t="s">
        <v>97</v>
      </c>
      <c r="R164" s="164" t="s">
        <v>98</v>
      </c>
      <c r="S164" s="162">
        <f aca="true" t="shared" si="5" ref="S164:S226">IF(Q164=$S$157,1,0)</f>
        <v>0</v>
      </c>
      <c r="T164" s="162">
        <f aca="true" t="shared" si="6" ref="T164:T226">IF(Q164=$T$157,1,0)</f>
        <v>0</v>
      </c>
      <c r="U164" s="162">
        <f aca="true" t="shared" si="7" ref="U164:U226">IF(Q164=$U$157,1,0)</f>
        <v>0</v>
      </c>
      <c r="V164" s="162">
        <f aca="true" t="shared" si="8" ref="V164:V226">IF(Q164=$V$157,1,0)</f>
        <v>0</v>
      </c>
      <c r="W164" s="163">
        <f t="shared" si="4"/>
        <v>0</v>
      </c>
    </row>
    <row r="165" spans="16:23" ht="15" customHeight="1">
      <c r="P165" s="160">
        <v>7</v>
      </c>
      <c r="Q165" s="164" t="s">
        <v>99</v>
      </c>
      <c r="R165" s="164" t="s">
        <v>100</v>
      </c>
      <c r="S165" s="162">
        <f t="shared" si="5"/>
        <v>0</v>
      </c>
      <c r="T165" s="162">
        <f t="shared" si="6"/>
        <v>0</v>
      </c>
      <c r="U165" s="162">
        <f t="shared" si="7"/>
        <v>0</v>
      </c>
      <c r="V165" s="162">
        <f t="shared" si="8"/>
        <v>0</v>
      </c>
      <c r="W165" s="163">
        <f t="shared" si="4"/>
        <v>0</v>
      </c>
    </row>
    <row r="166" spans="16:23" ht="15" customHeight="1">
      <c r="P166" s="160">
        <v>8</v>
      </c>
      <c r="Q166" s="164" t="s">
        <v>101</v>
      </c>
      <c r="R166" s="164" t="s">
        <v>102</v>
      </c>
      <c r="S166" s="162">
        <f t="shared" si="5"/>
        <v>0</v>
      </c>
      <c r="T166" s="162">
        <f t="shared" si="6"/>
        <v>0</v>
      </c>
      <c r="U166" s="162">
        <f t="shared" si="7"/>
        <v>0</v>
      </c>
      <c r="V166" s="162">
        <f t="shared" si="8"/>
        <v>0</v>
      </c>
      <c r="W166" s="163">
        <f t="shared" si="4"/>
        <v>0</v>
      </c>
    </row>
    <row r="167" spans="16:23" ht="15" customHeight="1">
      <c r="P167" s="160">
        <v>9</v>
      </c>
      <c r="Q167" s="164" t="s">
        <v>103</v>
      </c>
      <c r="R167" s="164" t="s">
        <v>104</v>
      </c>
      <c r="S167" s="162">
        <f t="shared" si="5"/>
        <v>0</v>
      </c>
      <c r="T167" s="162">
        <f t="shared" si="6"/>
        <v>0</v>
      </c>
      <c r="U167" s="162">
        <f t="shared" si="7"/>
        <v>0</v>
      </c>
      <c r="V167" s="162">
        <f t="shared" si="8"/>
        <v>0</v>
      </c>
      <c r="W167" s="163">
        <f t="shared" si="4"/>
        <v>0</v>
      </c>
    </row>
    <row r="168" spans="16:23" ht="15" customHeight="1">
      <c r="P168" s="160">
        <v>10</v>
      </c>
      <c r="Q168" s="164" t="s">
        <v>105</v>
      </c>
      <c r="R168" s="164" t="s">
        <v>106</v>
      </c>
      <c r="S168" s="162">
        <f t="shared" si="5"/>
        <v>0</v>
      </c>
      <c r="T168" s="162">
        <f t="shared" si="6"/>
        <v>0</v>
      </c>
      <c r="U168" s="162">
        <f t="shared" si="7"/>
        <v>0</v>
      </c>
      <c r="V168" s="162">
        <f t="shared" si="8"/>
        <v>0</v>
      </c>
      <c r="W168" s="163">
        <f t="shared" si="4"/>
        <v>0</v>
      </c>
    </row>
    <row r="169" spans="16:23" ht="15" customHeight="1">
      <c r="P169" s="160">
        <v>11</v>
      </c>
      <c r="Q169" s="164" t="s">
        <v>107</v>
      </c>
      <c r="R169" s="164" t="s">
        <v>108</v>
      </c>
      <c r="S169" s="162">
        <f t="shared" si="5"/>
        <v>0</v>
      </c>
      <c r="T169" s="162">
        <f t="shared" si="6"/>
        <v>0</v>
      </c>
      <c r="U169" s="162">
        <f t="shared" si="7"/>
        <v>0</v>
      </c>
      <c r="V169" s="162">
        <f t="shared" si="8"/>
        <v>0</v>
      </c>
      <c r="W169" s="163">
        <f t="shared" si="4"/>
        <v>0</v>
      </c>
    </row>
    <row r="170" spans="16:23" ht="15" customHeight="1">
      <c r="P170" s="160">
        <v>12</v>
      </c>
      <c r="Q170" s="164" t="s">
        <v>109</v>
      </c>
      <c r="R170" s="164" t="s">
        <v>110</v>
      </c>
      <c r="S170" s="162">
        <f t="shared" si="5"/>
        <v>0</v>
      </c>
      <c r="T170" s="162">
        <f t="shared" si="6"/>
        <v>0</v>
      </c>
      <c r="U170" s="162">
        <f t="shared" si="7"/>
        <v>0</v>
      </c>
      <c r="V170" s="162">
        <f t="shared" si="8"/>
        <v>0</v>
      </c>
      <c r="W170" s="163">
        <f t="shared" si="4"/>
        <v>0</v>
      </c>
    </row>
    <row r="171" spans="16:23" ht="15" customHeight="1">
      <c r="P171" s="160">
        <v>13</v>
      </c>
      <c r="Q171" s="164" t="s">
        <v>111</v>
      </c>
      <c r="R171" s="164" t="s">
        <v>112</v>
      </c>
      <c r="S171" s="162">
        <f t="shared" si="5"/>
        <v>0</v>
      </c>
      <c r="T171" s="162">
        <f t="shared" si="6"/>
        <v>0</v>
      </c>
      <c r="U171" s="162">
        <f t="shared" si="7"/>
        <v>0</v>
      </c>
      <c r="V171" s="162">
        <f t="shared" si="8"/>
        <v>0</v>
      </c>
      <c r="W171" s="163">
        <f t="shared" si="4"/>
        <v>0</v>
      </c>
    </row>
    <row r="172" spans="16:23" ht="15" customHeight="1">
      <c r="P172" s="160">
        <v>14</v>
      </c>
      <c r="Q172" s="164" t="s">
        <v>113</v>
      </c>
      <c r="R172" s="164" t="s">
        <v>114</v>
      </c>
      <c r="S172" s="162">
        <f t="shared" si="5"/>
        <v>0</v>
      </c>
      <c r="T172" s="162">
        <f t="shared" si="6"/>
        <v>0</v>
      </c>
      <c r="U172" s="162">
        <f t="shared" si="7"/>
        <v>0</v>
      </c>
      <c r="V172" s="162">
        <f t="shared" si="8"/>
        <v>0</v>
      </c>
      <c r="W172" s="163">
        <f t="shared" si="4"/>
        <v>0</v>
      </c>
    </row>
    <row r="173" spans="16:23" ht="15" customHeight="1">
      <c r="P173" s="160">
        <v>15</v>
      </c>
      <c r="Q173" s="164" t="s">
        <v>115</v>
      </c>
      <c r="R173" s="164" t="s">
        <v>116</v>
      </c>
      <c r="S173" s="162">
        <f t="shared" si="5"/>
        <v>0</v>
      </c>
      <c r="T173" s="162">
        <f t="shared" si="6"/>
        <v>0</v>
      </c>
      <c r="U173" s="162">
        <f t="shared" si="7"/>
        <v>0</v>
      </c>
      <c r="V173" s="162">
        <f t="shared" si="8"/>
        <v>0</v>
      </c>
      <c r="W173" s="163">
        <f t="shared" si="4"/>
        <v>0</v>
      </c>
    </row>
    <row r="174" spans="16:23" ht="15" customHeight="1">
      <c r="P174" s="160">
        <v>16</v>
      </c>
      <c r="Q174" s="164" t="s">
        <v>117</v>
      </c>
      <c r="R174" s="164" t="s">
        <v>118</v>
      </c>
      <c r="S174" s="162">
        <f t="shared" si="5"/>
        <v>0</v>
      </c>
      <c r="T174" s="162">
        <f t="shared" si="6"/>
        <v>0</v>
      </c>
      <c r="U174" s="162">
        <f t="shared" si="7"/>
        <v>0</v>
      </c>
      <c r="V174" s="162">
        <f t="shared" si="8"/>
        <v>0</v>
      </c>
      <c r="W174" s="163">
        <f t="shared" si="4"/>
        <v>0</v>
      </c>
    </row>
    <row r="175" spans="16:23" ht="15" customHeight="1">
      <c r="P175" s="160">
        <v>17</v>
      </c>
      <c r="Q175" s="164" t="s">
        <v>119</v>
      </c>
      <c r="R175" s="164" t="s">
        <v>120</v>
      </c>
      <c r="S175" s="162">
        <f t="shared" si="5"/>
        <v>0</v>
      </c>
      <c r="T175" s="162">
        <f t="shared" si="6"/>
        <v>0</v>
      </c>
      <c r="U175" s="162">
        <f t="shared" si="7"/>
        <v>0</v>
      </c>
      <c r="V175" s="162">
        <f t="shared" si="8"/>
        <v>0</v>
      </c>
      <c r="W175" s="163">
        <f t="shared" si="4"/>
        <v>0</v>
      </c>
    </row>
    <row r="176" spans="16:23" ht="15" customHeight="1">
      <c r="P176" s="160">
        <v>18</v>
      </c>
      <c r="Q176" s="164" t="s">
        <v>121</v>
      </c>
      <c r="R176" s="164" t="s">
        <v>194</v>
      </c>
      <c r="S176" s="162">
        <f t="shared" si="5"/>
        <v>0</v>
      </c>
      <c r="T176" s="162">
        <f t="shared" si="6"/>
        <v>0</v>
      </c>
      <c r="U176" s="162">
        <f t="shared" si="7"/>
        <v>0</v>
      </c>
      <c r="V176" s="162">
        <f t="shared" si="8"/>
        <v>0</v>
      </c>
      <c r="W176" s="163">
        <f t="shared" si="4"/>
        <v>0</v>
      </c>
    </row>
    <row r="177" spans="16:23" ht="15" customHeight="1">
      <c r="P177" s="160">
        <v>19</v>
      </c>
      <c r="Q177" s="164" t="s">
        <v>122</v>
      </c>
      <c r="R177" s="164" t="s">
        <v>123</v>
      </c>
      <c r="S177" s="162">
        <f t="shared" si="5"/>
        <v>0</v>
      </c>
      <c r="T177" s="162">
        <f t="shared" si="6"/>
        <v>0</v>
      </c>
      <c r="U177" s="162">
        <f t="shared" si="7"/>
        <v>0</v>
      </c>
      <c r="V177" s="162">
        <f t="shared" si="8"/>
        <v>0</v>
      </c>
      <c r="W177" s="163">
        <f t="shared" si="4"/>
        <v>0</v>
      </c>
    </row>
    <row r="178" spans="16:23" ht="15" customHeight="1">
      <c r="P178" s="160">
        <v>20</v>
      </c>
      <c r="Q178" s="164" t="s">
        <v>124</v>
      </c>
      <c r="R178" s="164" t="s">
        <v>125</v>
      </c>
      <c r="S178" s="162">
        <f t="shared" si="5"/>
        <v>0</v>
      </c>
      <c r="T178" s="162">
        <f t="shared" si="6"/>
        <v>0</v>
      </c>
      <c r="U178" s="162">
        <f t="shared" si="7"/>
        <v>0</v>
      </c>
      <c r="V178" s="162">
        <f t="shared" si="8"/>
        <v>0</v>
      </c>
      <c r="W178" s="163">
        <f t="shared" si="4"/>
        <v>0</v>
      </c>
    </row>
    <row r="179" spans="16:23" ht="15" customHeight="1">
      <c r="P179" s="160">
        <v>21</v>
      </c>
      <c r="Q179" s="164" t="s">
        <v>126</v>
      </c>
      <c r="R179" s="164" t="s">
        <v>127</v>
      </c>
      <c r="S179" s="162">
        <f t="shared" si="5"/>
        <v>0</v>
      </c>
      <c r="T179" s="162">
        <f t="shared" si="6"/>
        <v>0</v>
      </c>
      <c r="U179" s="162">
        <f t="shared" si="7"/>
        <v>0</v>
      </c>
      <c r="V179" s="162">
        <f t="shared" si="8"/>
        <v>0</v>
      </c>
      <c r="W179" s="163">
        <f t="shared" si="4"/>
        <v>0</v>
      </c>
    </row>
    <row r="180" spans="16:23" ht="15" customHeight="1">
      <c r="P180" s="160">
        <v>22</v>
      </c>
      <c r="Q180" s="164" t="s">
        <v>128</v>
      </c>
      <c r="R180" s="164" t="s">
        <v>129</v>
      </c>
      <c r="S180" s="162">
        <f t="shared" si="5"/>
        <v>0</v>
      </c>
      <c r="T180" s="162">
        <f t="shared" si="6"/>
        <v>0</v>
      </c>
      <c r="U180" s="162">
        <f t="shared" si="7"/>
        <v>0</v>
      </c>
      <c r="V180" s="162">
        <f t="shared" si="8"/>
        <v>0</v>
      </c>
      <c r="W180" s="163">
        <f t="shared" si="4"/>
        <v>0</v>
      </c>
    </row>
    <row r="181" spans="16:23" ht="15" customHeight="1">
      <c r="P181" s="160">
        <v>23</v>
      </c>
      <c r="Q181" s="164" t="s">
        <v>130</v>
      </c>
      <c r="R181" s="164" t="s">
        <v>131</v>
      </c>
      <c r="S181" s="162">
        <f t="shared" si="5"/>
        <v>0</v>
      </c>
      <c r="T181" s="162">
        <f t="shared" si="6"/>
        <v>0</v>
      </c>
      <c r="U181" s="162">
        <f t="shared" si="7"/>
        <v>0</v>
      </c>
      <c r="V181" s="162">
        <f t="shared" si="8"/>
        <v>0</v>
      </c>
      <c r="W181" s="163">
        <f t="shared" si="4"/>
        <v>0</v>
      </c>
    </row>
    <row r="182" spans="16:23" ht="15" customHeight="1">
      <c r="P182" s="160">
        <v>24</v>
      </c>
      <c r="Q182" s="164" t="s">
        <v>33</v>
      </c>
      <c r="R182" s="164" t="s">
        <v>132</v>
      </c>
      <c r="S182" s="162">
        <f t="shared" si="5"/>
        <v>0</v>
      </c>
      <c r="T182" s="162">
        <f t="shared" si="6"/>
        <v>0</v>
      </c>
      <c r="U182" s="162">
        <f t="shared" si="7"/>
        <v>0</v>
      </c>
      <c r="V182" s="162">
        <f t="shared" si="8"/>
        <v>0</v>
      </c>
      <c r="W182" s="163">
        <f t="shared" si="4"/>
        <v>0</v>
      </c>
    </row>
    <row r="183" spans="16:23" ht="15" customHeight="1">
      <c r="P183" s="160">
        <v>25</v>
      </c>
      <c r="Q183" s="164" t="s">
        <v>34</v>
      </c>
      <c r="R183" s="164" t="s">
        <v>133</v>
      </c>
      <c r="S183" s="162">
        <f t="shared" si="5"/>
        <v>0</v>
      </c>
      <c r="T183" s="162">
        <f t="shared" si="6"/>
        <v>0</v>
      </c>
      <c r="U183" s="162">
        <f t="shared" si="7"/>
        <v>0</v>
      </c>
      <c r="V183" s="162">
        <f t="shared" si="8"/>
        <v>0</v>
      </c>
      <c r="W183" s="163">
        <f t="shared" si="4"/>
        <v>0</v>
      </c>
    </row>
    <row r="184" spans="16:23" ht="15" customHeight="1">
      <c r="P184" s="160">
        <v>26</v>
      </c>
      <c r="Q184" s="164" t="s">
        <v>35</v>
      </c>
      <c r="R184" s="164" t="s">
        <v>36</v>
      </c>
      <c r="S184" s="162">
        <f t="shared" si="5"/>
        <v>0</v>
      </c>
      <c r="T184" s="162">
        <f t="shared" si="6"/>
        <v>0</v>
      </c>
      <c r="U184" s="162">
        <f t="shared" si="7"/>
        <v>0</v>
      </c>
      <c r="V184" s="162">
        <f t="shared" si="8"/>
        <v>0</v>
      </c>
      <c r="W184" s="163">
        <f t="shared" si="4"/>
        <v>0</v>
      </c>
    </row>
    <row r="185" spans="16:23" ht="15" customHeight="1">
      <c r="P185" s="160">
        <v>27</v>
      </c>
      <c r="Q185" s="164" t="s">
        <v>37</v>
      </c>
      <c r="R185" s="164" t="s">
        <v>134</v>
      </c>
      <c r="S185" s="162">
        <f t="shared" si="5"/>
        <v>0</v>
      </c>
      <c r="T185" s="162">
        <f t="shared" si="6"/>
        <v>0</v>
      </c>
      <c r="U185" s="162">
        <f t="shared" si="7"/>
        <v>0</v>
      </c>
      <c r="V185" s="162">
        <f t="shared" si="8"/>
        <v>0</v>
      </c>
      <c r="W185" s="163">
        <f t="shared" si="4"/>
        <v>0</v>
      </c>
    </row>
    <row r="186" spans="16:23" ht="15" customHeight="1">
      <c r="P186" s="160">
        <v>28</v>
      </c>
      <c r="Q186" s="164" t="s">
        <v>38</v>
      </c>
      <c r="R186" s="164" t="s">
        <v>135</v>
      </c>
      <c r="S186" s="162">
        <f t="shared" si="5"/>
        <v>0</v>
      </c>
      <c r="T186" s="162">
        <f t="shared" si="6"/>
        <v>0</v>
      </c>
      <c r="U186" s="162">
        <f t="shared" si="7"/>
        <v>0</v>
      </c>
      <c r="V186" s="162">
        <f t="shared" si="8"/>
        <v>0</v>
      </c>
      <c r="W186" s="163">
        <f t="shared" si="4"/>
        <v>0</v>
      </c>
    </row>
    <row r="187" spans="16:23" ht="15" customHeight="1">
      <c r="P187" s="160">
        <v>29</v>
      </c>
      <c r="Q187" s="164" t="s">
        <v>39</v>
      </c>
      <c r="R187" s="164" t="s">
        <v>40</v>
      </c>
      <c r="S187" s="162">
        <f t="shared" si="5"/>
        <v>0</v>
      </c>
      <c r="T187" s="162">
        <f t="shared" si="6"/>
        <v>0</v>
      </c>
      <c r="U187" s="162">
        <f t="shared" si="7"/>
        <v>0</v>
      </c>
      <c r="V187" s="162">
        <f t="shared" si="8"/>
        <v>0</v>
      </c>
      <c r="W187" s="163">
        <f t="shared" si="4"/>
        <v>0</v>
      </c>
    </row>
    <row r="188" spans="16:23" ht="15" customHeight="1">
      <c r="P188" s="160">
        <v>30</v>
      </c>
      <c r="Q188" s="164" t="s">
        <v>136</v>
      </c>
      <c r="R188" s="164" t="s">
        <v>137</v>
      </c>
      <c r="S188" s="162">
        <f t="shared" si="5"/>
        <v>0</v>
      </c>
      <c r="T188" s="162">
        <f t="shared" si="6"/>
        <v>0</v>
      </c>
      <c r="U188" s="162">
        <f t="shared" si="7"/>
        <v>0</v>
      </c>
      <c r="V188" s="162">
        <f t="shared" si="8"/>
        <v>0</v>
      </c>
      <c r="W188" s="163">
        <f t="shared" si="4"/>
        <v>0</v>
      </c>
    </row>
    <row r="189" spans="16:23" ht="15" customHeight="1">
      <c r="P189" s="160">
        <v>31</v>
      </c>
      <c r="Q189" s="164" t="s">
        <v>41</v>
      </c>
      <c r="R189" s="164" t="s">
        <v>42</v>
      </c>
      <c r="S189" s="162">
        <f t="shared" si="5"/>
        <v>0</v>
      </c>
      <c r="T189" s="162">
        <f t="shared" si="6"/>
        <v>0</v>
      </c>
      <c r="U189" s="162">
        <f t="shared" si="7"/>
        <v>0</v>
      </c>
      <c r="V189" s="162">
        <f t="shared" si="8"/>
        <v>0</v>
      </c>
      <c r="W189" s="163">
        <f t="shared" si="4"/>
        <v>0</v>
      </c>
    </row>
    <row r="190" spans="16:23" ht="15" customHeight="1">
      <c r="P190" s="160">
        <v>32</v>
      </c>
      <c r="Q190" s="164" t="s">
        <v>138</v>
      </c>
      <c r="R190" s="164" t="s">
        <v>139</v>
      </c>
      <c r="S190" s="162">
        <f t="shared" si="5"/>
        <v>0</v>
      </c>
      <c r="T190" s="162">
        <f t="shared" si="6"/>
        <v>0</v>
      </c>
      <c r="U190" s="162">
        <f t="shared" si="7"/>
        <v>0</v>
      </c>
      <c r="V190" s="162">
        <f t="shared" si="8"/>
        <v>0</v>
      </c>
      <c r="W190" s="163">
        <f t="shared" si="4"/>
        <v>0</v>
      </c>
    </row>
    <row r="191" spans="16:23" ht="15" customHeight="1">
      <c r="P191" s="160">
        <v>33</v>
      </c>
      <c r="Q191" s="164" t="s">
        <v>43</v>
      </c>
      <c r="R191" s="164" t="s">
        <v>140</v>
      </c>
      <c r="S191" s="162">
        <f t="shared" si="5"/>
        <v>0</v>
      </c>
      <c r="T191" s="162">
        <f t="shared" si="6"/>
        <v>0</v>
      </c>
      <c r="U191" s="162">
        <f t="shared" si="7"/>
        <v>0</v>
      </c>
      <c r="V191" s="162">
        <f t="shared" si="8"/>
        <v>0</v>
      </c>
      <c r="W191" s="163">
        <f t="shared" si="4"/>
        <v>0</v>
      </c>
    </row>
    <row r="192" spans="16:23" ht="15" customHeight="1">
      <c r="P192" s="160">
        <v>34</v>
      </c>
      <c r="Q192" s="164" t="s">
        <v>44</v>
      </c>
      <c r="R192" s="164" t="s">
        <v>141</v>
      </c>
      <c r="S192" s="162">
        <f t="shared" si="5"/>
        <v>0</v>
      </c>
      <c r="T192" s="162">
        <f t="shared" si="6"/>
        <v>0</v>
      </c>
      <c r="U192" s="162">
        <f t="shared" si="7"/>
        <v>0</v>
      </c>
      <c r="V192" s="162">
        <f t="shared" si="8"/>
        <v>0</v>
      </c>
      <c r="W192" s="163">
        <f t="shared" si="4"/>
        <v>0</v>
      </c>
    </row>
    <row r="193" spans="16:23" ht="15" customHeight="1">
      <c r="P193" s="160">
        <v>35</v>
      </c>
      <c r="Q193" s="164" t="s">
        <v>45</v>
      </c>
      <c r="R193" s="164" t="s">
        <v>46</v>
      </c>
      <c r="S193" s="162">
        <f t="shared" si="5"/>
        <v>0</v>
      </c>
      <c r="T193" s="162">
        <f t="shared" si="6"/>
        <v>0</v>
      </c>
      <c r="U193" s="162">
        <f t="shared" si="7"/>
        <v>0</v>
      </c>
      <c r="V193" s="162">
        <f t="shared" si="8"/>
        <v>0</v>
      </c>
      <c r="W193" s="163">
        <f t="shared" si="4"/>
        <v>0</v>
      </c>
    </row>
    <row r="194" spans="16:23" ht="15" customHeight="1">
      <c r="P194" s="160">
        <v>36</v>
      </c>
      <c r="Q194" s="164" t="s">
        <v>142</v>
      </c>
      <c r="R194" s="164" t="s">
        <v>143</v>
      </c>
      <c r="S194" s="162">
        <f t="shared" si="5"/>
        <v>0</v>
      </c>
      <c r="T194" s="162">
        <f t="shared" si="6"/>
        <v>0</v>
      </c>
      <c r="U194" s="162">
        <f t="shared" si="7"/>
        <v>0</v>
      </c>
      <c r="V194" s="162">
        <f t="shared" si="8"/>
        <v>0</v>
      </c>
      <c r="W194" s="163">
        <f t="shared" si="4"/>
        <v>0</v>
      </c>
    </row>
    <row r="195" spans="16:23" ht="15" customHeight="1">
      <c r="P195" s="160">
        <v>37</v>
      </c>
      <c r="Q195" s="164" t="s">
        <v>144</v>
      </c>
      <c r="R195" s="164" t="s">
        <v>145</v>
      </c>
      <c r="S195" s="162">
        <f t="shared" si="5"/>
        <v>0</v>
      </c>
      <c r="T195" s="162">
        <f t="shared" si="6"/>
        <v>0</v>
      </c>
      <c r="U195" s="162">
        <f t="shared" si="7"/>
        <v>0</v>
      </c>
      <c r="V195" s="162">
        <f t="shared" si="8"/>
        <v>0</v>
      </c>
      <c r="W195" s="163">
        <f t="shared" si="4"/>
        <v>0</v>
      </c>
    </row>
    <row r="196" spans="16:23" ht="15" customHeight="1">
      <c r="P196" s="160">
        <v>38</v>
      </c>
      <c r="Q196" s="164" t="s">
        <v>47</v>
      </c>
      <c r="R196" s="164" t="s">
        <v>48</v>
      </c>
      <c r="S196" s="162">
        <f t="shared" si="5"/>
        <v>0</v>
      </c>
      <c r="T196" s="162">
        <f t="shared" si="6"/>
        <v>0</v>
      </c>
      <c r="U196" s="162">
        <f t="shared" si="7"/>
        <v>0</v>
      </c>
      <c r="V196" s="162">
        <f t="shared" si="8"/>
        <v>0</v>
      </c>
      <c r="W196" s="163">
        <f t="shared" si="4"/>
        <v>0</v>
      </c>
    </row>
    <row r="197" spans="16:23" ht="15" customHeight="1">
      <c r="P197" s="160">
        <v>39</v>
      </c>
      <c r="Q197" s="164" t="s">
        <v>146</v>
      </c>
      <c r="R197" s="164" t="s">
        <v>147</v>
      </c>
      <c r="S197" s="162">
        <f t="shared" si="5"/>
        <v>0</v>
      </c>
      <c r="T197" s="162">
        <f t="shared" si="6"/>
        <v>0</v>
      </c>
      <c r="U197" s="162">
        <f t="shared" si="7"/>
        <v>0</v>
      </c>
      <c r="V197" s="162">
        <f t="shared" si="8"/>
        <v>0</v>
      </c>
      <c r="W197" s="163">
        <f t="shared" si="4"/>
        <v>0</v>
      </c>
    </row>
    <row r="198" spans="16:23" ht="15" customHeight="1">
      <c r="P198" s="160">
        <v>40</v>
      </c>
      <c r="Q198" s="164" t="s">
        <v>49</v>
      </c>
      <c r="R198" s="164" t="s">
        <v>50</v>
      </c>
      <c r="S198" s="162">
        <f t="shared" si="5"/>
        <v>0</v>
      </c>
      <c r="T198" s="162">
        <f t="shared" si="6"/>
        <v>0</v>
      </c>
      <c r="U198" s="162">
        <f t="shared" si="7"/>
        <v>0</v>
      </c>
      <c r="V198" s="162">
        <f t="shared" si="8"/>
        <v>0</v>
      </c>
      <c r="W198" s="163">
        <f t="shared" si="4"/>
        <v>0</v>
      </c>
    </row>
    <row r="199" spans="16:23" ht="15" customHeight="1">
      <c r="P199" s="160">
        <v>41</v>
      </c>
      <c r="Q199" s="164" t="s">
        <v>51</v>
      </c>
      <c r="R199" s="164" t="s">
        <v>52</v>
      </c>
      <c r="S199" s="162">
        <f t="shared" si="5"/>
        <v>0</v>
      </c>
      <c r="T199" s="162">
        <f t="shared" si="6"/>
        <v>0</v>
      </c>
      <c r="U199" s="162">
        <f t="shared" si="7"/>
        <v>0</v>
      </c>
      <c r="V199" s="162">
        <f t="shared" si="8"/>
        <v>0</v>
      </c>
      <c r="W199" s="163">
        <f t="shared" si="4"/>
        <v>0</v>
      </c>
    </row>
    <row r="200" spans="16:23" ht="15" customHeight="1">
      <c r="P200" s="160">
        <v>42</v>
      </c>
      <c r="Q200" s="164" t="s">
        <v>148</v>
      </c>
      <c r="R200" s="164" t="s">
        <v>149</v>
      </c>
      <c r="S200" s="162">
        <f t="shared" si="5"/>
        <v>0</v>
      </c>
      <c r="T200" s="162">
        <f t="shared" si="6"/>
        <v>0</v>
      </c>
      <c r="U200" s="162">
        <f t="shared" si="7"/>
        <v>0</v>
      </c>
      <c r="V200" s="162">
        <f t="shared" si="8"/>
        <v>0</v>
      </c>
      <c r="W200" s="163">
        <f t="shared" si="4"/>
        <v>0</v>
      </c>
    </row>
    <row r="201" spans="16:23" ht="15" customHeight="1">
      <c r="P201" s="160">
        <v>43</v>
      </c>
      <c r="Q201" s="164" t="s">
        <v>150</v>
      </c>
      <c r="R201" s="164" t="s">
        <v>151</v>
      </c>
      <c r="S201" s="162">
        <f t="shared" si="5"/>
        <v>0</v>
      </c>
      <c r="T201" s="162">
        <f t="shared" si="6"/>
        <v>0</v>
      </c>
      <c r="U201" s="162">
        <f t="shared" si="7"/>
        <v>0</v>
      </c>
      <c r="V201" s="162">
        <f t="shared" si="8"/>
        <v>0</v>
      </c>
      <c r="W201" s="163">
        <f t="shared" si="4"/>
        <v>0</v>
      </c>
    </row>
    <row r="202" spans="16:23" ht="15" customHeight="1">
      <c r="P202" s="160">
        <v>44</v>
      </c>
      <c r="Q202" s="164" t="s">
        <v>152</v>
      </c>
      <c r="R202" s="164" t="s">
        <v>153</v>
      </c>
      <c r="S202" s="162">
        <f t="shared" si="5"/>
        <v>0</v>
      </c>
      <c r="T202" s="162">
        <f t="shared" si="6"/>
        <v>0</v>
      </c>
      <c r="U202" s="162">
        <f t="shared" si="7"/>
        <v>0</v>
      </c>
      <c r="V202" s="162">
        <f t="shared" si="8"/>
        <v>0</v>
      </c>
      <c r="W202" s="163">
        <f t="shared" si="4"/>
        <v>0</v>
      </c>
    </row>
    <row r="203" spans="16:23" ht="15" customHeight="1">
      <c r="P203" s="160">
        <v>45</v>
      </c>
      <c r="Q203" s="164" t="s">
        <v>76</v>
      </c>
      <c r="R203" s="164" t="s">
        <v>154</v>
      </c>
      <c r="S203" s="162">
        <f t="shared" si="5"/>
        <v>0</v>
      </c>
      <c r="T203" s="162">
        <f t="shared" si="6"/>
        <v>0</v>
      </c>
      <c r="U203" s="162">
        <f t="shared" si="7"/>
        <v>0</v>
      </c>
      <c r="V203" s="162">
        <f t="shared" si="8"/>
        <v>0</v>
      </c>
      <c r="W203" s="163">
        <f t="shared" si="4"/>
        <v>0</v>
      </c>
    </row>
    <row r="204" spans="16:23" ht="15" customHeight="1">
      <c r="P204" s="160">
        <v>46</v>
      </c>
      <c r="Q204" s="164" t="s">
        <v>155</v>
      </c>
      <c r="R204" s="164" t="s">
        <v>156</v>
      </c>
      <c r="S204" s="162">
        <f t="shared" si="5"/>
        <v>0</v>
      </c>
      <c r="T204" s="162">
        <f t="shared" si="6"/>
        <v>0</v>
      </c>
      <c r="U204" s="162">
        <f t="shared" si="7"/>
        <v>0</v>
      </c>
      <c r="V204" s="162">
        <f t="shared" si="8"/>
        <v>0</v>
      </c>
      <c r="W204" s="163">
        <f t="shared" si="4"/>
        <v>0</v>
      </c>
    </row>
    <row r="205" spans="16:23" ht="15" customHeight="1">
      <c r="P205" s="160">
        <v>47</v>
      </c>
      <c r="Q205" s="164" t="s">
        <v>157</v>
      </c>
      <c r="R205" s="164" t="s">
        <v>158</v>
      </c>
      <c r="S205" s="162">
        <f t="shared" si="5"/>
        <v>0</v>
      </c>
      <c r="T205" s="162">
        <f t="shared" si="6"/>
        <v>0</v>
      </c>
      <c r="U205" s="162">
        <f t="shared" si="7"/>
        <v>0</v>
      </c>
      <c r="V205" s="162">
        <f t="shared" si="8"/>
        <v>0</v>
      </c>
      <c r="W205" s="163">
        <f t="shared" si="4"/>
        <v>0</v>
      </c>
    </row>
    <row r="206" spans="16:23" ht="15" customHeight="1">
      <c r="P206" s="160">
        <v>48</v>
      </c>
      <c r="Q206" s="164" t="s">
        <v>53</v>
      </c>
      <c r="R206" s="164" t="s">
        <v>54</v>
      </c>
      <c r="S206" s="162">
        <f t="shared" si="5"/>
        <v>0</v>
      </c>
      <c r="T206" s="162">
        <f t="shared" si="6"/>
        <v>0</v>
      </c>
      <c r="U206" s="162">
        <f t="shared" si="7"/>
        <v>0</v>
      </c>
      <c r="V206" s="162">
        <f t="shared" si="8"/>
        <v>0</v>
      </c>
      <c r="W206" s="163">
        <f t="shared" si="4"/>
        <v>0</v>
      </c>
    </row>
    <row r="207" spans="16:23" ht="15" customHeight="1">
      <c r="P207" s="160">
        <v>49</v>
      </c>
      <c r="Q207" s="164" t="s">
        <v>55</v>
      </c>
      <c r="R207" s="164" t="s">
        <v>56</v>
      </c>
      <c r="S207" s="162">
        <f t="shared" si="5"/>
        <v>0</v>
      </c>
      <c r="T207" s="162">
        <f t="shared" si="6"/>
        <v>0</v>
      </c>
      <c r="U207" s="162">
        <f t="shared" si="7"/>
        <v>0</v>
      </c>
      <c r="V207" s="162">
        <f t="shared" si="8"/>
        <v>0</v>
      </c>
      <c r="W207" s="163">
        <f t="shared" si="4"/>
        <v>0</v>
      </c>
    </row>
    <row r="208" spans="16:23" ht="15" customHeight="1">
      <c r="P208" s="160">
        <v>50</v>
      </c>
      <c r="Q208" s="164" t="s">
        <v>159</v>
      </c>
      <c r="R208" s="164" t="s">
        <v>160</v>
      </c>
      <c r="S208" s="162">
        <f t="shared" si="5"/>
        <v>0</v>
      </c>
      <c r="T208" s="162">
        <f t="shared" si="6"/>
        <v>0</v>
      </c>
      <c r="U208" s="162">
        <f t="shared" si="7"/>
        <v>0</v>
      </c>
      <c r="V208" s="162">
        <f t="shared" si="8"/>
        <v>0</v>
      </c>
      <c r="W208" s="163">
        <f t="shared" si="4"/>
        <v>0</v>
      </c>
    </row>
    <row r="209" spans="16:23" ht="15" customHeight="1">
      <c r="P209" s="160">
        <v>51</v>
      </c>
      <c r="Q209" s="164" t="s">
        <v>161</v>
      </c>
      <c r="R209" s="164" t="s">
        <v>162</v>
      </c>
      <c r="S209" s="162">
        <f t="shared" si="5"/>
        <v>0</v>
      </c>
      <c r="T209" s="162">
        <f t="shared" si="6"/>
        <v>0</v>
      </c>
      <c r="U209" s="162">
        <f t="shared" si="7"/>
        <v>0</v>
      </c>
      <c r="V209" s="162">
        <f t="shared" si="8"/>
        <v>0</v>
      </c>
      <c r="W209" s="163">
        <f t="shared" si="4"/>
        <v>0</v>
      </c>
    </row>
    <row r="210" spans="16:23" ht="15" customHeight="1">
      <c r="P210" s="160">
        <v>52</v>
      </c>
      <c r="Q210" s="164" t="s">
        <v>163</v>
      </c>
      <c r="R210" s="164" t="s">
        <v>164</v>
      </c>
      <c r="S210" s="162">
        <f t="shared" si="5"/>
        <v>0</v>
      </c>
      <c r="T210" s="162">
        <f t="shared" si="6"/>
        <v>0</v>
      </c>
      <c r="U210" s="162">
        <f t="shared" si="7"/>
        <v>0</v>
      </c>
      <c r="V210" s="162">
        <f t="shared" si="8"/>
        <v>0</v>
      </c>
      <c r="W210" s="163">
        <f t="shared" si="4"/>
        <v>0</v>
      </c>
    </row>
    <row r="211" spans="16:23" ht="15" customHeight="1">
      <c r="P211" s="160">
        <v>53</v>
      </c>
      <c r="Q211" s="164" t="s">
        <v>165</v>
      </c>
      <c r="R211" s="164" t="s">
        <v>166</v>
      </c>
      <c r="S211" s="162">
        <f t="shared" si="5"/>
        <v>0</v>
      </c>
      <c r="T211" s="162">
        <f t="shared" si="6"/>
        <v>0</v>
      </c>
      <c r="U211" s="162">
        <f t="shared" si="7"/>
        <v>0</v>
      </c>
      <c r="V211" s="162">
        <f t="shared" si="8"/>
        <v>0</v>
      </c>
      <c r="W211" s="163">
        <f t="shared" si="4"/>
        <v>0</v>
      </c>
    </row>
    <row r="212" spans="16:23" ht="15" customHeight="1">
      <c r="P212" s="160">
        <v>54</v>
      </c>
      <c r="Q212" s="164" t="s">
        <v>57</v>
      </c>
      <c r="R212" s="164" t="s">
        <v>167</v>
      </c>
      <c r="S212" s="162">
        <f t="shared" si="5"/>
        <v>0</v>
      </c>
      <c r="T212" s="162">
        <f t="shared" si="6"/>
        <v>0</v>
      </c>
      <c r="U212" s="162">
        <f t="shared" si="7"/>
        <v>0</v>
      </c>
      <c r="V212" s="162">
        <f t="shared" si="8"/>
        <v>0</v>
      </c>
      <c r="W212" s="163">
        <f t="shared" si="4"/>
        <v>0</v>
      </c>
    </row>
    <row r="213" spans="16:23" ht="15" customHeight="1">
      <c r="P213" s="160">
        <v>55</v>
      </c>
      <c r="Q213" s="164" t="s">
        <v>168</v>
      </c>
      <c r="R213" s="164" t="s">
        <v>169</v>
      </c>
      <c r="S213" s="162">
        <f t="shared" si="5"/>
        <v>0</v>
      </c>
      <c r="T213" s="162">
        <f t="shared" si="6"/>
        <v>0</v>
      </c>
      <c r="U213" s="162">
        <f t="shared" si="7"/>
        <v>0</v>
      </c>
      <c r="V213" s="162">
        <f t="shared" si="8"/>
        <v>0</v>
      </c>
      <c r="W213" s="163">
        <f t="shared" si="4"/>
        <v>0</v>
      </c>
    </row>
    <row r="214" spans="16:23" ht="15" customHeight="1">
      <c r="P214" s="160">
        <v>56</v>
      </c>
      <c r="Q214" s="164" t="s">
        <v>58</v>
      </c>
      <c r="R214" s="164" t="s">
        <v>59</v>
      </c>
      <c r="S214" s="162">
        <f t="shared" si="5"/>
        <v>0</v>
      </c>
      <c r="T214" s="162">
        <f t="shared" si="6"/>
        <v>0</v>
      </c>
      <c r="U214" s="162">
        <f t="shared" si="7"/>
        <v>0</v>
      </c>
      <c r="V214" s="162">
        <f t="shared" si="8"/>
        <v>0</v>
      </c>
      <c r="W214" s="163">
        <f t="shared" si="4"/>
        <v>0</v>
      </c>
    </row>
    <row r="215" spans="16:23" ht="15" customHeight="1">
      <c r="P215" s="160">
        <v>57</v>
      </c>
      <c r="Q215" s="164" t="s">
        <v>60</v>
      </c>
      <c r="R215" s="164" t="s">
        <v>170</v>
      </c>
      <c r="S215" s="162">
        <f t="shared" si="5"/>
        <v>0</v>
      </c>
      <c r="T215" s="162">
        <f t="shared" si="6"/>
        <v>0</v>
      </c>
      <c r="U215" s="162">
        <f t="shared" si="7"/>
        <v>0</v>
      </c>
      <c r="V215" s="162">
        <f t="shared" si="8"/>
        <v>0</v>
      </c>
      <c r="W215" s="163">
        <f t="shared" si="4"/>
        <v>0</v>
      </c>
    </row>
    <row r="216" spans="16:23" ht="15" customHeight="1">
      <c r="P216" s="160">
        <v>58</v>
      </c>
      <c r="Q216" s="164" t="s">
        <v>171</v>
      </c>
      <c r="R216" s="164" t="s">
        <v>172</v>
      </c>
      <c r="S216" s="162">
        <f t="shared" si="5"/>
        <v>0</v>
      </c>
      <c r="T216" s="162">
        <f t="shared" si="6"/>
        <v>0</v>
      </c>
      <c r="U216" s="162">
        <f t="shared" si="7"/>
        <v>0</v>
      </c>
      <c r="V216" s="162">
        <f t="shared" si="8"/>
        <v>0</v>
      </c>
      <c r="W216" s="163">
        <f t="shared" si="4"/>
        <v>0</v>
      </c>
    </row>
    <row r="217" spans="16:23" ht="15" customHeight="1">
      <c r="P217" s="160">
        <v>59</v>
      </c>
      <c r="Q217" s="164" t="s">
        <v>173</v>
      </c>
      <c r="R217" s="164" t="s">
        <v>174</v>
      </c>
      <c r="S217" s="162">
        <f t="shared" si="5"/>
        <v>0</v>
      </c>
      <c r="T217" s="162">
        <f t="shared" si="6"/>
        <v>0</v>
      </c>
      <c r="U217" s="162">
        <f t="shared" si="7"/>
        <v>0</v>
      </c>
      <c r="V217" s="162">
        <f t="shared" si="8"/>
        <v>0</v>
      </c>
      <c r="W217" s="163">
        <f t="shared" si="4"/>
        <v>0</v>
      </c>
    </row>
    <row r="218" spans="16:23" ht="15" customHeight="1">
      <c r="P218" s="160">
        <v>60</v>
      </c>
      <c r="Q218" s="164" t="s">
        <v>61</v>
      </c>
      <c r="R218" s="164" t="s">
        <v>62</v>
      </c>
      <c r="S218" s="162">
        <f t="shared" si="5"/>
        <v>0</v>
      </c>
      <c r="T218" s="162">
        <f t="shared" si="6"/>
        <v>0</v>
      </c>
      <c r="U218" s="162">
        <f t="shared" si="7"/>
        <v>0</v>
      </c>
      <c r="V218" s="162">
        <f t="shared" si="8"/>
        <v>0</v>
      </c>
      <c r="W218" s="163">
        <f t="shared" si="4"/>
        <v>0</v>
      </c>
    </row>
    <row r="219" spans="16:23" ht="15" customHeight="1">
      <c r="P219" s="160">
        <v>61</v>
      </c>
      <c r="Q219" s="164" t="s">
        <v>63</v>
      </c>
      <c r="R219" s="164" t="s">
        <v>64</v>
      </c>
      <c r="S219" s="162">
        <f t="shared" si="5"/>
        <v>0</v>
      </c>
      <c r="T219" s="162">
        <f t="shared" si="6"/>
        <v>0</v>
      </c>
      <c r="U219" s="162">
        <f t="shared" si="7"/>
        <v>0</v>
      </c>
      <c r="V219" s="162">
        <f t="shared" si="8"/>
        <v>0</v>
      </c>
      <c r="W219" s="163">
        <f t="shared" si="4"/>
        <v>0</v>
      </c>
    </row>
    <row r="220" spans="16:23" ht="15" customHeight="1">
      <c r="P220" s="160">
        <v>62</v>
      </c>
      <c r="Q220" s="164" t="s">
        <v>65</v>
      </c>
      <c r="R220" s="164" t="s">
        <v>66</v>
      </c>
      <c r="S220" s="162">
        <f t="shared" si="5"/>
        <v>0</v>
      </c>
      <c r="T220" s="162">
        <f t="shared" si="6"/>
        <v>0</v>
      </c>
      <c r="U220" s="162">
        <f t="shared" si="7"/>
        <v>0</v>
      </c>
      <c r="V220" s="162">
        <f t="shared" si="8"/>
        <v>0</v>
      </c>
      <c r="W220" s="163">
        <f t="shared" si="4"/>
        <v>0</v>
      </c>
    </row>
    <row r="221" spans="16:23" ht="15" customHeight="1">
      <c r="P221" s="160">
        <v>63</v>
      </c>
      <c r="Q221" s="164" t="s">
        <v>67</v>
      </c>
      <c r="R221" s="164" t="s">
        <v>175</v>
      </c>
      <c r="S221" s="162">
        <f t="shared" si="5"/>
        <v>0</v>
      </c>
      <c r="T221" s="162">
        <f t="shared" si="6"/>
        <v>0</v>
      </c>
      <c r="U221" s="162">
        <f t="shared" si="7"/>
        <v>0</v>
      </c>
      <c r="V221" s="162">
        <f t="shared" si="8"/>
        <v>0</v>
      </c>
      <c r="W221" s="163">
        <f t="shared" si="4"/>
        <v>0</v>
      </c>
    </row>
    <row r="222" spans="16:23" ht="15" customHeight="1">
      <c r="P222" s="160">
        <v>64</v>
      </c>
      <c r="Q222" s="164" t="s">
        <v>68</v>
      </c>
      <c r="R222" s="164" t="s">
        <v>176</v>
      </c>
      <c r="S222" s="162">
        <f t="shared" si="5"/>
        <v>0</v>
      </c>
      <c r="T222" s="162">
        <f t="shared" si="6"/>
        <v>0</v>
      </c>
      <c r="U222" s="162">
        <f t="shared" si="7"/>
        <v>0</v>
      </c>
      <c r="V222" s="162">
        <f t="shared" si="8"/>
        <v>0</v>
      </c>
      <c r="W222" s="163">
        <f t="shared" si="4"/>
        <v>0</v>
      </c>
    </row>
    <row r="223" spans="16:23" ht="15" customHeight="1">
      <c r="P223" s="160">
        <v>65</v>
      </c>
      <c r="Q223" s="164" t="s">
        <v>69</v>
      </c>
      <c r="R223" s="164" t="s">
        <v>70</v>
      </c>
      <c r="S223" s="162">
        <f t="shared" si="5"/>
        <v>0</v>
      </c>
      <c r="T223" s="162">
        <f t="shared" si="6"/>
        <v>0</v>
      </c>
      <c r="U223" s="162">
        <f t="shared" si="7"/>
        <v>0</v>
      </c>
      <c r="V223" s="162">
        <f t="shared" si="8"/>
        <v>0</v>
      </c>
      <c r="W223" s="163">
        <f aca="true" t="shared" si="9" ref="W223:W232">IF(S223+T223+U223+V223&gt;0,P223,0)</f>
        <v>0</v>
      </c>
    </row>
    <row r="224" spans="16:23" ht="15" customHeight="1">
      <c r="P224" s="160">
        <v>66</v>
      </c>
      <c r="Q224" s="164" t="s">
        <v>177</v>
      </c>
      <c r="R224" s="164" t="s">
        <v>178</v>
      </c>
      <c r="S224" s="162">
        <f t="shared" si="5"/>
        <v>0</v>
      </c>
      <c r="T224" s="162">
        <f t="shared" si="6"/>
        <v>0</v>
      </c>
      <c r="U224" s="162">
        <f t="shared" si="7"/>
        <v>0</v>
      </c>
      <c r="V224" s="162">
        <f t="shared" si="8"/>
        <v>0</v>
      </c>
      <c r="W224" s="163">
        <f t="shared" si="9"/>
        <v>0</v>
      </c>
    </row>
    <row r="225" spans="16:23" ht="15" customHeight="1">
      <c r="P225" s="160">
        <v>67</v>
      </c>
      <c r="Q225" s="164" t="s">
        <v>179</v>
      </c>
      <c r="R225" s="164" t="s">
        <v>180</v>
      </c>
      <c r="S225" s="162">
        <f t="shared" si="5"/>
        <v>0</v>
      </c>
      <c r="T225" s="162">
        <f t="shared" si="6"/>
        <v>0</v>
      </c>
      <c r="U225" s="162">
        <f t="shared" si="7"/>
        <v>0</v>
      </c>
      <c r="V225" s="162">
        <f t="shared" si="8"/>
        <v>0</v>
      </c>
      <c r="W225" s="163">
        <f t="shared" si="9"/>
        <v>0</v>
      </c>
    </row>
    <row r="226" spans="16:23" ht="15" customHeight="1">
      <c r="P226" s="160">
        <v>68</v>
      </c>
      <c r="Q226" s="164" t="s">
        <v>71</v>
      </c>
      <c r="R226" s="164" t="s">
        <v>181</v>
      </c>
      <c r="S226" s="162">
        <f t="shared" si="5"/>
        <v>0</v>
      </c>
      <c r="T226" s="162">
        <f t="shared" si="6"/>
        <v>0</v>
      </c>
      <c r="U226" s="162">
        <f t="shared" si="7"/>
        <v>0</v>
      </c>
      <c r="V226" s="162">
        <f t="shared" si="8"/>
        <v>0</v>
      </c>
      <c r="W226" s="163">
        <f t="shared" si="9"/>
        <v>0</v>
      </c>
    </row>
    <row r="227" spans="16:23" ht="15" customHeight="1">
      <c r="P227" s="160">
        <v>69</v>
      </c>
      <c r="Q227" s="164" t="s">
        <v>182</v>
      </c>
      <c r="R227" s="164" t="s">
        <v>183</v>
      </c>
      <c r="S227" s="162">
        <f aca="true" t="shared" si="10" ref="S227:S232">IF(Q227=$S$157,1,0)</f>
        <v>0</v>
      </c>
      <c r="T227" s="162">
        <f aca="true" t="shared" si="11" ref="T227:T232">IF(Q227=$T$157,1,0)</f>
        <v>0</v>
      </c>
      <c r="U227" s="162">
        <f aca="true" t="shared" si="12" ref="U227:U232">IF(Q227=$U$157,1,0)</f>
        <v>0</v>
      </c>
      <c r="V227" s="162">
        <f aca="true" t="shared" si="13" ref="V227:V232">IF(Q227=$V$157,1,0)</f>
        <v>0</v>
      </c>
      <c r="W227" s="163">
        <f t="shared" si="9"/>
        <v>0</v>
      </c>
    </row>
    <row r="228" spans="16:23" ht="15" customHeight="1">
      <c r="P228" s="160">
        <v>70</v>
      </c>
      <c r="Q228" s="164" t="s">
        <v>184</v>
      </c>
      <c r="R228" s="164" t="s">
        <v>185</v>
      </c>
      <c r="S228" s="165">
        <f t="shared" si="10"/>
        <v>0</v>
      </c>
      <c r="T228" s="162">
        <f t="shared" si="11"/>
        <v>0</v>
      </c>
      <c r="U228" s="162">
        <f t="shared" si="12"/>
        <v>0</v>
      </c>
      <c r="V228" s="162">
        <f t="shared" si="13"/>
        <v>0</v>
      </c>
      <c r="W228" s="163">
        <f t="shared" si="9"/>
        <v>0</v>
      </c>
    </row>
    <row r="229" spans="16:23" ht="15" customHeight="1">
      <c r="P229" s="160">
        <v>71</v>
      </c>
      <c r="Q229" s="164" t="s">
        <v>186</v>
      </c>
      <c r="R229" s="164" t="s">
        <v>187</v>
      </c>
      <c r="S229" s="165">
        <f t="shared" si="10"/>
        <v>0</v>
      </c>
      <c r="T229" s="162">
        <f t="shared" si="11"/>
        <v>0</v>
      </c>
      <c r="U229" s="162">
        <f t="shared" si="12"/>
        <v>0</v>
      </c>
      <c r="V229" s="162">
        <f t="shared" si="13"/>
        <v>0</v>
      </c>
      <c r="W229" s="163">
        <f t="shared" si="9"/>
        <v>0</v>
      </c>
    </row>
    <row r="230" spans="16:23" ht="15" customHeight="1">
      <c r="P230" s="160">
        <v>72</v>
      </c>
      <c r="Q230" s="164" t="s">
        <v>188</v>
      </c>
      <c r="R230" s="164" t="s">
        <v>189</v>
      </c>
      <c r="S230" s="165">
        <f t="shared" si="10"/>
        <v>0</v>
      </c>
      <c r="T230" s="162">
        <f t="shared" si="11"/>
        <v>0</v>
      </c>
      <c r="U230" s="162">
        <f t="shared" si="12"/>
        <v>0</v>
      </c>
      <c r="V230" s="162">
        <f t="shared" si="13"/>
        <v>0</v>
      </c>
      <c r="W230" s="163">
        <f t="shared" si="9"/>
        <v>0</v>
      </c>
    </row>
    <row r="231" spans="16:23" ht="15" customHeight="1">
      <c r="P231" s="160">
        <v>73</v>
      </c>
      <c r="Q231" s="164" t="s">
        <v>72</v>
      </c>
      <c r="R231" s="164" t="s">
        <v>190</v>
      </c>
      <c r="S231" s="165">
        <f t="shared" si="10"/>
        <v>0</v>
      </c>
      <c r="T231" s="162">
        <f t="shared" si="11"/>
        <v>0</v>
      </c>
      <c r="U231" s="162">
        <f t="shared" si="12"/>
        <v>0</v>
      </c>
      <c r="V231" s="162">
        <f t="shared" si="13"/>
        <v>0</v>
      </c>
      <c r="W231" s="163">
        <f t="shared" si="9"/>
        <v>0</v>
      </c>
    </row>
    <row r="232" spans="16:23" ht="15" customHeight="1">
      <c r="P232" s="160">
        <v>74</v>
      </c>
      <c r="Q232" s="164" t="s">
        <v>191</v>
      </c>
      <c r="R232" s="164" t="s">
        <v>192</v>
      </c>
      <c r="S232" s="165">
        <f t="shared" si="10"/>
        <v>0</v>
      </c>
      <c r="T232" s="162">
        <f t="shared" si="11"/>
        <v>0</v>
      </c>
      <c r="U232" s="162">
        <f t="shared" si="12"/>
        <v>0</v>
      </c>
      <c r="V232" s="162">
        <f t="shared" si="13"/>
        <v>0</v>
      </c>
      <c r="W232" s="163">
        <f t="shared" si="9"/>
        <v>0</v>
      </c>
    </row>
    <row r="233" spans="16:23" ht="49.5" customHeight="1" thickBot="1">
      <c r="P233" s="166">
        <v>75</v>
      </c>
      <c r="Q233" s="167"/>
      <c r="R233" s="175" t="s">
        <v>193</v>
      </c>
      <c r="S233" s="176"/>
      <c r="T233" s="176"/>
      <c r="U233" s="176"/>
      <c r="V233" s="176"/>
      <c r="W233" s="177"/>
    </row>
    <row r="234" spans="16:23" ht="15" customHeight="1">
      <c r="P234" s="168"/>
      <c r="Q234" s="169"/>
      <c r="R234" s="169"/>
      <c r="S234" s="170"/>
      <c r="T234" s="171"/>
      <c r="U234" s="171"/>
      <c r="V234" s="171"/>
      <c r="W234" s="172"/>
    </row>
    <row r="235" spans="16:23" ht="15" customHeight="1">
      <c r="P235" s="168"/>
      <c r="Q235" s="169"/>
      <c r="R235" s="169"/>
      <c r="S235" s="170"/>
      <c r="T235" s="171"/>
      <c r="U235" s="171"/>
      <c r="V235" s="171"/>
      <c r="W235" s="172"/>
    </row>
    <row r="236" spans="16:23" ht="15" customHeight="1">
      <c r="P236" s="168"/>
      <c r="Q236" s="169"/>
      <c r="R236" s="169"/>
      <c r="S236" s="170"/>
      <c r="T236" s="171"/>
      <c r="U236" s="171"/>
      <c r="V236" s="171"/>
      <c r="W236" s="172"/>
    </row>
    <row r="237" spans="16:24" ht="15" customHeight="1">
      <c r="P237" s="173"/>
      <c r="Q237" s="169"/>
      <c r="R237" s="169"/>
      <c r="S237" s="170"/>
      <c r="T237" s="171"/>
      <c r="U237" s="171"/>
      <c r="V237" s="171"/>
      <c r="W237" s="172"/>
      <c r="X237" s="85">
        <f>IF(W238=0,"",LOOKUP(W238,P159:P232,Q159:Q232))</f>
      </c>
    </row>
    <row r="238" spans="23:24" ht="15" customHeight="1">
      <c r="W238" s="84">
        <f>IF(Q157="",0,IF(Q157=0,0,SUM(W159:W232)))</f>
        <v>0</v>
      </c>
      <c r="X238" s="85">
        <f>IF(W238=0,"",LOOKUP(W238,P159:P232,R159:R232))</f>
      </c>
    </row>
    <row r="239" ht="15" customHeight="1">
      <c r="W239" s="41"/>
    </row>
    <row r="240" spans="23:24" ht="15" customHeight="1" thickBot="1">
      <c r="W240" s="41"/>
      <c r="X240" s="86" t="str">
        <f>"ΚΑΔ ΥΠΑΓΩΓΗΣ ΣΤΟΝ ΠΙΝΑΚΑ I ΤΗΣ ΑΠΟΦΑΣΗΣ: "&amp;X237&amp;" "&amp;X238</f>
        <v>ΚΑΔ ΥΠΑΓΩΓΗΣ ΣΤΟΝ ΠΙΝΑΚΑ I ΤΗΣ ΑΠΟΦΑΣΗΣ:  </v>
      </c>
    </row>
    <row r="241" spans="17:23" ht="15" customHeight="1">
      <c r="Q241" s="111" t="s">
        <v>75</v>
      </c>
      <c r="R241" s="112"/>
      <c r="S241" s="113"/>
      <c r="T241" s="114"/>
      <c r="U241" s="115"/>
      <c r="V241" s="115"/>
      <c r="W241" s="116"/>
    </row>
    <row r="242" spans="17:23" ht="15" customHeight="1">
      <c r="Q242" s="174">
        <f>Q157</f>
        <v>0</v>
      </c>
      <c r="R242" s="117"/>
      <c r="S242" s="118"/>
      <c r="T242" s="118"/>
      <c r="U242" s="119" t="str">
        <f>U157</f>
        <v>0</v>
      </c>
      <c r="V242" s="119">
        <f>V157</f>
        <v>0</v>
      </c>
      <c r="W242" s="120"/>
    </row>
    <row r="243" spans="17:23" ht="15" customHeight="1">
      <c r="Q243" s="121" t="s">
        <v>195</v>
      </c>
      <c r="R243" s="122"/>
      <c r="S243" s="123"/>
      <c r="T243" s="124"/>
      <c r="U243" s="162">
        <f aca="true" t="shared" si="14" ref="U243:U249">IF(Q243=$U$242,1,0)</f>
        <v>0</v>
      </c>
      <c r="V243" s="162">
        <f aca="true" t="shared" si="15" ref="V243:V250">IF(Q243=$V$242,1,0)</f>
        <v>0</v>
      </c>
      <c r="W243" s="163">
        <f aca="true" t="shared" si="16" ref="W243:W278">IF(U243+V243&gt;0,1,0)</f>
        <v>0</v>
      </c>
    </row>
    <row r="244" spans="17:23" ht="15" customHeight="1">
      <c r="Q244" s="121" t="s">
        <v>196</v>
      </c>
      <c r="R244" s="122"/>
      <c r="S244" s="123"/>
      <c r="T244" s="124"/>
      <c r="U244" s="162">
        <f t="shared" si="14"/>
        <v>0</v>
      </c>
      <c r="V244" s="162">
        <f t="shared" si="15"/>
        <v>0</v>
      </c>
      <c r="W244" s="163">
        <f t="shared" si="16"/>
        <v>0</v>
      </c>
    </row>
    <row r="245" spans="17:23" ht="15" customHeight="1">
      <c r="Q245" s="121" t="s">
        <v>197</v>
      </c>
      <c r="R245" s="122"/>
      <c r="S245" s="123"/>
      <c r="T245" s="124"/>
      <c r="U245" s="162">
        <f t="shared" si="14"/>
        <v>0</v>
      </c>
      <c r="V245" s="162">
        <f t="shared" si="15"/>
        <v>0</v>
      </c>
      <c r="W245" s="163">
        <f t="shared" si="16"/>
        <v>0</v>
      </c>
    </row>
    <row r="246" spans="17:23" ht="15" customHeight="1">
      <c r="Q246" s="121" t="s">
        <v>198</v>
      </c>
      <c r="R246" s="122"/>
      <c r="S246" s="123"/>
      <c r="T246" s="124"/>
      <c r="U246" s="162">
        <f t="shared" si="14"/>
        <v>0</v>
      </c>
      <c r="V246" s="162">
        <f t="shared" si="15"/>
        <v>0</v>
      </c>
      <c r="W246" s="163">
        <f t="shared" si="16"/>
        <v>0</v>
      </c>
    </row>
    <row r="247" spans="17:23" ht="15" customHeight="1">
      <c r="Q247" s="121" t="s">
        <v>199</v>
      </c>
      <c r="R247" s="122"/>
      <c r="S247" s="123"/>
      <c r="T247" s="124"/>
      <c r="U247" s="162">
        <f t="shared" si="14"/>
        <v>0</v>
      </c>
      <c r="V247" s="162">
        <f t="shared" si="15"/>
        <v>0</v>
      </c>
      <c r="W247" s="163">
        <f t="shared" si="16"/>
        <v>0</v>
      </c>
    </row>
    <row r="248" spans="17:23" ht="15" customHeight="1">
      <c r="Q248" s="121" t="s">
        <v>200</v>
      </c>
      <c r="R248" s="122"/>
      <c r="S248" s="123"/>
      <c r="T248" s="124"/>
      <c r="U248" s="162">
        <f t="shared" si="14"/>
        <v>0</v>
      </c>
      <c r="V248" s="162">
        <f t="shared" si="15"/>
        <v>0</v>
      </c>
      <c r="W248" s="163">
        <f t="shared" si="16"/>
        <v>0</v>
      </c>
    </row>
    <row r="249" spans="17:23" ht="15" customHeight="1">
      <c r="Q249" s="121" t="s">
        <v>201</v>
      </c>
      <c r="R249" s="122"/>
      <c r="S249" s="123"/>
      <c r="T249" s="124"/>
      <c r="U249" s="162">
        <f t="shared" si="14"/>
        <v>0</v>
      </c>
      <c r="V249" s="162">
        <f t="shared" si="15"/>
        <v>0</v>
      </c>
      <c r="W249" s="163">
        <f t="shared" si="16"/>
        <v>0</v>
      </c>
    </row>
    <row r="250" spans="17:23" ht="15" customHeight="1">
      <c r="Q250" s="121" t="s">
        <v>202</v>
      </c>
      <c r="R250" s="122"/>
      <c r="S250" s="123"/>
      <c r="T250" s="124"/>
      <c r="U250" s="162">
        <f>IF(Q250=$U$242,1,0)</f>
        <v>0</v>
      </c>
      <c r="V250" s="162">
        <f t="shared" si="15"/>
        <v>0</v>
      </c>
      <c r="W250" s="163">
        <f t="shared" si="16"/>
        <v>0</v>
      </c>
    </row>
    <row r="251" spans="17:23" ht="15" customHeight="1">
      <c r="Q251" s="121" t="s">
        <v>203</v>
      </c>
      <c r="R251" s="122"/>
      <c r="S251" s="123"/>
      <c r="T251" s="124"/>
      <c r="U251" s="162">
        <f aca="true" t="shared" si="17" ref="U251:U257">IF(Q251=$U$242,1,0)</f>
        <v>0</v>
      </c>
      <c r="V251" s="162">
        <f aca="true" t="shared" si="18" ref="V251:V257">IF(Q251=$V$242,1,0)</f>
        <v>0</v>
      </c>
      <c r="W251" s="163">
        <f t="shared" si="16"/>
        <v>0</v>
      </c>
    </row>
    <row r="252" spans="17:23" ht="15" customHeight="1">
      <c r="Q252" s="121" t="s">
        <v>204</v>
      </c>
      <c r="R252" s="122"/>
      <c r="S252" s="123"/>
      <c r="T252" s="124"/>
      <c r="U252" s="162">
        <f t="shared" si="17"/>
        <v>0</v>
      </c>
      <c r="V252" s="162">
        <f t="shared" si="18"/>
        <v>0</v>
      </c>
      <c r="W252" s="163">
        <f t="shared" si="16"/>
        <v>0</v>
      </c>
    </row>
    <row r="253" spans="17:23" ht="15" customHeight="1">
      <c r="Q253" s="121" t="s">
        <v>205</v>
      </c>
      <c r="R253" s="122"/>
      <c r="S253" s="123"/>
      <c r="T253" s="124"/>
      <c r="U253" s="162">
        <f t="shared" si="17"/>
        <v>0</v>
      </c>
      <c r="V253" s="162">
        <f t="shared" si="18"/>
        <v>0</v>
      </c>
      <c r="W253" s="163">
        <f t="shared" si="16"/>
        <v>0</v>
      </c>
    </row>
    <row r="254" spans="17:23" ht="15" customHeight="1">
      <c r="Q254" s="121" t="s">
        <v>206</v>
      </c>
      <c r="R254" s="122"/>
      <c r="S254" s="123"/>
      <c r="T254" s="124"/>
      <c r="U254" s="162">
        <f t="shared" si="17"/>
        <v>0</v>
      </c>
      <c r="V254" s="162">
        <f t="shared" si="18"/>
        <v>0</v>
      </c>
      <c r="W254" s="163">
        <f t="shared" si="16"/>
        <v>0</v>
      </c>
    </row>
    <row r="255" spans="17:23" ht="15" customHeight="1">
      <c r="Q255" s="121" t="s">
        <v>207</v>
      </c>
      <c r="R255" s="122"/>
      <c r="S255" s="123"/>
      <c r="T255" s="124"/>
      <c r="U255" s="162">
        <f t="shared" si="17"/>
        <v>0</v>
      </c>
      <c r="V255" s="162">
        <f t="shared" si="18"/>
        <v>0</v>
      </c>
      <c r="W255" s="163">
        <f t="shared" si="16"/>
        <v>0</v>
      </c>
    </row>
    <row r="256" spans="17:23" ht="15" customHeight="1">
      <c r="Q256" s="121" t="s">
        <v>208</v>
      </c>
      <c r="R256" s="122"/>
      <c r="S256" s="123"/>
      <c r="T256" s="124"/>
      <c r="U256" s="162">
        <f t="shared" si="17"/>
        <v>0</v>
      </c>
      <c r="V256" s="162">
        <f t="shared" si="18"/>
        <v>0</v>
      </c>
      <c r="W256" s="163">
        <f t="shared" si="16"/>
        <v>0</v>
      </c>
    </row>
    <row r="257" spans="17:23" ht="15" customHeight="1">
      <c r="Q257" s="121" t="s">
        <v>209</v>
      </c>
      <c r="R257" s="122"/>
      <c r="S257" s="123"/>
      <c r="T257" s="124"/>
      <c r="U257" s="162">
        <f t="shared" si="17"/>
        <v>0</v>
      </c>
      <c r="V257" s="162">
        <f t="shared" si="18"/>
        <v>0</v>
      </c>
      <c r="W257" s="163">
        <f t="shared" si="16"/>
        <v>0</v>
      </c>
    </row>
    <row r="258" spans="17:23" ht="15" customHeight="1">
      <c r="Q258" s="121" t="s">
        <v>210</v>
      </c>
      <c r="R258" s="122"/>
      <c r="S258" s="123"/>
      <c r="T258" s="124"/>
      <c r="U258" s="162">
        <f aca="true" t="shared" si="19" ref="U258:U278">IF(Q258=$U$242,1,0)</f>
        <v>0</v>
      </c>
      <c r="V258" s="162">
        <f aca="true" t="shared" si="20" ref="V258:V278">IF(Q258=$V$242,1,0)</f>
        <v>0</v>
      </c>
      <c r="W258" s="163">
        <f t="shared" si="16"/>
        <v>0</v>
      </c>
    </row>
    <row r="259" spans="17:23" ht="15" customHeight="1">
      <c r="Q259" s="121" t="s">
        <v>211</v>
      </c>
      <c r="R259" s="117"/>
      <c r="S259" s="125"/>
      <c r="T259" s="126"/>
      <c r="U259" s="162">
        <f t="shared" si="19"/>
        <v>0</v>
      </c>
      <c r="V259" s="162">
        <f t="shared" si="20"/>
        <v>0</v>
      </c>
      <c r="W259" s="163">
        <f t="shared" si="16"/>
        <v>0</v>
      </c>
    </row>
    <row r="260" spans="17:23" ht="15" customHeight="1">
      <c r="Q260" s="121" t="s">
        <v>212</v>
      </c>
      <c r="R260" s="117"/>
      <c r="S260" s="125"/>
      <c r="T260" s="126"/>
      <c r="U260" s="162">
        <f t="shared" si="19"/>
        <v>0</v>
      </c>
      <c r="V260" s="162">
        <f t="shared" si="20"/>
        <v>0</v>
      </c>
      <c r="W260" s="163">
        <f t="shared" si="16"/>
        <v>0</v>
      </c>
    </row>
    <row r="261" spans="17:23" ht="15" customHeight="1">
      <c r="Q261" s="121" t="s">
        <v>213</v>
      </c>
      <c r="R261" s="117"/>
      <c r="S261" s="125"/>
      <c r="T261" s="126"/>
      <c r="U261" s="162">
        <f t="shared" si="19"/>
        <v>0</v>
      </c>
      <c r="V261" s="162">
        <f t="shared" si="20"/>
        <v>0</v>
      </c>
      <c r="W261" s="163">
        <f t="shared" si="16"/>
        <v>0</v>
      </c>
    </row>
    <row r="262" spans="17:23" ht="15" customHeight="1">
      <c r="Q262" s="121" t="s">
        <v>214</v>
      </c>
      <c r="R262" s="117"/>
      <c r="S262" s="125"/>
      <c r="T262" s="126"/>
      <c r="U262" s="162">
        <f t="shared" si="19"/>
        <v>0</v>
      </c>
      <c r="V262" s="162">
        <f t="shared" si="20"/>
        <v>0</v>
      </c>
      <c r="W262" s="163">
        <f t="shared" si="16"/>
        <v>0</v>
      </c>
    </row>
    <row r="263" spans="17:23" ht="15" customHeight="1">
      <c r="Q263" s="121" t="s">
        <v>215</v>
      </c>
      <c r="R263" s="117"/>
      <c r="S263" s="125"/>
      <c r="T263" s="126"/>
      <c r="U263" s="162">
        <f t="shared" si="19"/>
        <v>0</v>
      </c>
      <c r="V263" s="162">
        <f t="shared" si="20"/>
        <v>0</v>
      </c>
      <c r="W263" s="163">
        <f t="shared" si="16"/>
        <v>0</v>
      </c>
    </row>
    <row r="264" spans="17:23" ht="15" customHeight="1">
      <c r="Q264" s="121" t="s">
        <v>216</v>
      </c>
      <c r="R264" s="117"/>
      <c r="S264" s="125"/>
      <c r="T264" s="126"/>
      <c r="U264" s="162">
        <f t="shared" si="19"/>
        <v>0</v>
      </c>
      <c r="V264" s="162">
        <f t="shared" si="20"/>
        <v>0</v>
      </c>
      <c r="W264" s="163">
        <f t="shared" si="16"/>
        <v>0</v>
      </c>
    </row>
    <row r="265" spans="17:23" ht="15" customHeight="1">
      <c r="Q265" s="121" t="s">
        <v>222</v>
      </c>
      <c r="R265" s="117"/>
      <c r="S265" s="125"/>
      <c r="T265" s="126"/>
      <c r="U265" s="162">
        <f t="shared" si="19"/>
        <v>0</v>
      </c>
      <c r="V265" s="162">
        <f t="shared" si="20"/>
        <v>0</v>
      </c>
      <c r="W265" s="163">
        <f t="shared" si="16"/>
        <v>0</v>
      </c>
    </row>
    <row r="266" spans="17:23" ht="15" customHeight="1">
      <c r="Q266" s="121" t="s">
        <v>217</v>
      </c>
      <c r="R266" s="117"/>
      <c r="S266" s="125"/>
      <c r="T266" s="126"/>
      <c r="U266" s="162">
        <f t="shared" si="19"/>
        <v>0</v>
      </c>
      <c r="V266" s="162">
        <f t="shared" si="20"/>
        <v>0</v>
      </c>
      <c r="W266" s="163">
        <f t="shared" si="16"/>
        <v>0</v>
      </c>
    </row>
    <row r="267" spans="17:23" ht="15" customHeight="1">
      <c r="Q267" s="121" t="s">
        <v>218</v>
      </c>
      <c r="R267" s="117"/>
      <c r="S267" s="125"/>
      <c r="T267" s="126"/>
      <c r="U267" s="162">
        <f t="shared" si="19"/>
        <v>0</v>
      </c>
      <c r="V267" s="162">
        <f t="shared" si="20"/>
        <v>0</v>
      </c>
      <c r="W267" s="163">
        <f t="shared" si="16"/>
        <v>0</v>
      </c>
    </row>
    <row r="268" spans="17:23" ht="15" customHeight="1">
      <c r="Q268" s="121" t="s">
        <v>224</v>
      </c>
      <c r="R268" s="117"/>
      <c r="S268" s="125"/>
      <c r="T268" s="126"/>
      <c r="U268" s="162">
        <f t="shared" si="19"/>
        <v>0</v>
      </c>
      <c r="V268" s="162">
        <f t="shared" si="20"/>
        <v>0</v>
      </c>
      <c r="W268" s="163">
        <f t="shared" si="16"/>
        <v>0</v>
      </c>
    </row>
    <row r="269" spans="17:23" ht="15" customHeight="1">
      <c r="Q269" s="121" t="s">
        <v>225</v>
      </c>
      <c r="R269" s="117"/>
      <c r="S269" s="125"/>
      <c r="T269" s="126"/>
      <c r="U269" s="162">
        <f t="shared" si="19"/>
        <v>0</v>
      </c>
      <c r="V269" s="162">
        <f t="shared" si="20"/>
        <v>0</v>
      </c>
      <c r="W269" s="163">
        <f t="shared" si="16"/>
        <v>0</v>
      </c>
    </row>
    <row r="270" spans="17:23" ht="15" customHeight="1">
      <c r="Q270" s="121" t="s">
        <v>226</v>
      </c>
      <c r="R270" s="117"/>
      <c r="S270" s="125"/>
      <c r="T270" s="126"/>
      <c r="U270" s="162">
        <f t="shared" si="19"/>
        <v>0</v>
      </c>
      <c r="V270" s="162">
        <f t="shared" si="20"/>
        <v>0</v>
      </c>
      <c r="W270" s="163">
        <f t="shared" si="16"/>
        <v>0</v>
      </c>
    </row>
    <row r="271" spans="17:23" ht="15" customHeight="1">
      <c r="Q271" s="121" t="s">
        <v>227</v>
      </c>
      <c r="R271" s="117"/>
      <c r="S271" s="125"/>
      <c r="T271" s="126"/>
      <c r="U271" s="162">
        <f t="shared" si="19"/>
        <v>0</v>
      </c>
      <c r="V271" s="162">
        <f t="shared" si="20"/>
        <v>0</v>
      </c>
      <c r="W271" s="163">
        <f t="shared" si="16"/>
        <v>0</v>
      </c>
    </row>
    <row r="272" spans="17:23" ht="15" customHeight="1">
      <c r="Q272" s="121" t="s">
        <v>223</v>
      </c>
      <c r="R272" s="117"/>
      <c r="S272" s="125"/>
      <c r="T272" s="126"/>
      <c r="U272" s="162">
        <f t="shared" si="19"/>
        <v>0</v>
      </c>
      <c r="V272" s="162">
        <f t="shared" si="20"/>
        <v>0</v>
      </c>
      <c r="W272" s="163">
        <f t="shared" si="16"/>
        <v>0</v>
      </c>
    </row>
    <row r="273" spans="17:23" ht="15" customHeight="1">
      <c r="Q273" s="121" t="s">
        <v>74</v>
      </c>
      <c r="R273" s="117"/>
      <c r="S273" s="125"/>
      <c r="T273" s="126"/>
      <c r="U273" s="162">
        <f t="shared" si="19"/>
        <v>0</v>
      </c>
      <c r="V273" s="162">
        <f t="shared" si="20"/>
        <v>0</v>
      </c>
      <c r="W273" s="163">
        <f t="shared" si="16"/>
        <v>0</v>
      </c>
    </row>
    <row r="274" spans="17:23" ht="15" customHeight="1">
      <c r="Q274" s="121" t="s">
        <v>228</v>
      </c>
      <c r="R274" s="117"/>
      <c r="S274" s="125"/>
      <c r="T274" s="126"/>
      <c r="U274" s="162">
        <f t="shared" si="19"/>
        <v>0</v>
      </c>
      <c r="V274" s="162">
        <f t="shared" si="20"/>
        <v>0</v>
      </c>
      <c r="W274" s="163">
        <f t="shared" si="16"/>
        <v>0</v>
      </c>
    </row>
    <row r="275" spans="17:23" ht="15" customHeight="1">
      <c r="Q275" s="121" t="s">
        <v>229</v>
      </c>
      <c r="R275" s="117"/>
      <c r="S275" s="125"/>
      <c r="T275" s="126"/>
      <c r="U275" s="162">
        <f t="shared" si="19"/>
        <v>0</v>
      </c>
      <c r="V275" s="162">
        <f t="shared" si="20"/>
        <v>0</v>
      </c>
      <c r="W275" s="163">
        <f t="shared" si="16"/>
        <v>0</v>
      </c>
    </row>
    <row r="276" spans="17:24" ht="15" customHeight="1">
      <c r="Q276" s="121" t="s">
        <v>219</v>
      </c>
      <c r="R276" s="117"/>
      <c r="S276" s="125"/>
      <c r="T276" s="126"/>
      <c r="U276" s="162">
        <f t="shared" si="19"/>
        <v>0</v>
      </c>
      <c r="V276" s="162">
        <f t="shared" si="20"/>
        <v>0</v>
      </c>
      <c r="W276" s="163">
        <f t="shared" si="16"/>
        <v>0</v>
      </c>
      <c r="X276" s="28"/>
    </row>
    <row r="277" spans="17:24" ht="15" customHeight="1">
      <c r="Q277" s="121" t="s">
        <v>220</v>
      </c>
      <c r="R277" s="117"/>
      <c r="S277" s="125"/>
      <c r="T277" s="126"/>
      <c r="U277" s="162">
        <f t="shared" si="19"/>
        <v>0</v>
      </c>
      <c r="V277" s="162">
        <f t="shared" si="20"/>
        <v>0</v>
      </c>
      <c r="W277" s="163">
        <f t="shared" si="16"/>
        <v>0</v>
      </c>
      <c r="X277" s="28"/>
    </row>
    <row r="278" spans="17:24" ht="15" customHeight="1">
      <c r="Q278" s="121" t="s">
        <v>221</v>
      </c>
      <c r="R278" s="117"/>
      <c r="S278" s="125"/>
      <c r="T278" s="126"/>
      <c r="U278" s="162">
        <f t="shared" si="19"/>
        <v>0</v>
      </c>
      <c r="V278" s="162">
        <f t="shared" si="20"/>
        <v>0</v>
      </c>
      <c r="W278" s="163">
        <f t="shared" si="16"/>
        <v>0</v>
      </c>
      <c r="X278" s="28"/>
    </row>
    <row r="279" spans="17:24" ht="15" customHeight="1">
      <c r="Q279" s="127"/>
      <c r="R279" s="117"/>
      <c r="S279" s="125"/>
      <c r="T279" s="126"/>
      <c r="U279" s="128"/>
      <c r="V279" s="128"/>
      <c r="W279" s="129"/>
      <c r="X279" s="28"/>
    </row>
    <row r="280" spans="17:24" ht="15" customHeight="1" thickBot="1">
      <c r="Q280" s="130"/>
      <c r="R280" s="131"/>
      <c r="S280" s="132"/>
      <c r="T280" s="133"/>
      <c r="U280" s="134"/>
      <c r="V280" s="134"/>
      <c r="W280" s="135">
        <f>IF(Q242="",0,IF(Q242=0,0,SUM(W243:W278)))</f>
        <v>0</v>
      </c>
      <c r="X280" s="28"/>
    </row>
    <row r="281" ht="15" customHeight="1">
      <c r="X281" s="28"/>
    </row>
    <row r="282" spans="19:22" ht="15" customHeight="1">
      <c r="S282" s="28"/>
      <c r="T282" s="2">
        <f>IF(F14="",0,P73)</f>
        <v>0</v>
      </c>
      <c r="U282" s="2"/>
      <c r="V282" s="136"/>
    </row>
    <row r="283" spans="19:22" ht="15" customHeight="1">
      <c r="S283" s="28"/>
      <c r="T283" s="2">
        <f>IF(F14=0,0,IF(F14="",0,IF(F14=W68,1,0)))</f>
        <v>0</v>
      </c>
      <c r="U283" s="2"/>
      <c r="V283" s="136"/>
    </row>
    <row r="284" spans="19:22" ht="15" customHeight="1">
      <c r="S284" s="28"/>
      <c r="T284" s="31">
        <f>T282*T283</f>
        <v>0</v>
      </c>
      <c r="U284" s="31">
        <f>T284</f>
        <v>0</v>
      </c>
      <c r="V284" s="136" t="s">
        <v>230</v>
      </c>
    </row>
    <row r="285" spans="19:24" ht="15" customHeight="1">
      <c r="S285" s="28"/>
      <c r="T285" s="2">
        <f>IF(F14="",0,P75)</f>
        <v>0</v>
      </c>
      <c r="U285" s="136"/>
      <c r="V285" s="2"/>
      <c r="W285" s="28"/>
      <c r="X285" s="28"/>
    </row>
    <row r="286" spans="20:24" ht="15" customHeight="1">
      <c r="T286" s="2">
        <f>IF(F16=0,0,IF(F16="",0,IF(F16=W68,1,0)))</f>
        <v>0</v>
      </c>
      <c r="U286" s="136"/>
      <c r="V286" s="2"/>
      <c r="W286" s="28"/>
      <c r="X286" s="28"/>
    </row>
    <row r="287" spans="20:24" ht="15" customHeight="1">
      <c r="T287" s="31">
        <f>T285*T286</f>
        <v>0</v>
      </c>
      <c r="U287" s="31">
        <f>T287</f>
        <v>0</v>
      </c>
      <c r="V287" s="136" t="s">
        <v>230</v>
      </c>
      <c r="W287" s="28"/>
      <c r="X287" s="28"/>
    </row>
    <row r="288" spans="19:24" ht="15" customHeight="1">
      <c r="S288" s="28"/>
      <c r="T288" s="2">
        <f>IF(F14="",0,P77)</f>
        <v>0</v>
      </c>
      <c r="U288" s="136"/>
      <c r="V288" s="2"/>
      <c r="W288" s="28"/>
      <c r="X288" s="28"/>
    </row>
    <row r="289" spans="20:24" ht="15" customHeight="1">
      <c r="T289" s="2">
        <f>IF(F18=0,0,IF(F18="",0,IF(U284+U287&gt;0,0,1)))</f>
        <v>0</v>
      </c>
      <c r="U289" s="136"/>
      <c r="V289" s="2"/>
      <c r="W289" s="28"/>
      <c r="X289" s="28"/>
    </row>
    <row r="290" spans="20:24" ht="15" customHeight="1">
      <c r="T290" s="31">
        <f>T288*T289</f>
        <v>0</v>
      </c>
      <c r="U290" s="136"/>
      <c r="V290" s="2"/>
      <c r="W290" s="28"/>
      <c r="X290" s="28"/>
    </row>
    <row r="291" spans="20:24" ht="15" customHeight="1">
      <c r="T291" s="2">
        <f>IF(W238&gt;0,1,0)</f>
        <v>0</v>
      </c>
      <c r="U291" s="136"/>
      <c r="V291" s="2"/>
      <c r="W291" s="28"/>
      <c r="X291" s="28"/>
    </row>
    <row r="292" spans="20:24" ht="15" customHeight="1">
      <c r="T292" s="2">
        <f>IF(W280&gt;0,1,0)</f>
        <v>0</v>
      </c>
      <c r="U292" s="136"/>
      <c r="V292" s="2"/>
      <c r="W292" s="28"/>
      <c r="X292" s="28"/>
    </row>
    <row r="293" spans="20:24" ht="15" customHeight="1">
      <c r="T293" s="31">
        <f>T290*T291*T292</f>
        <v>0</v>
      </c>
      <c r="U293" s="31">
        <f>T293</f>
        <v>0</v>
      </c>
      <c r="V293" s="136" t="str">
        <f>"Η επιχ/ση με ΚΑΔ "&amp;Q242&amp;" περιλαμβάνεται στις εξαιρέσεις του ΠΙΝΑΚΑ III τις ΓΔΟΥ 281/20 και είναι δικαιούχος επιστρ. προκαταβολής, εφόσον έχει μείωση κύκλου εργασιών τουλάχιστον 20% και ο κύκλος εργασιών αναφοράς ή τα ακαθ. έσοδα αναφοράς είναι μεγαλύτερα από 300 €."</f>
        <v>Η επιχ/ση με ΚΑΔ 0 περιλαμβάνεται στις εξαιρέσεις του ΠΙΝΑΚΑ III τις ΓΔΟΥ 281/20 και είναι δικαιούχος επιστρ. προκαταβολής, εφόσον έχει μείωση κύκλου εργασιών τουλάχιστον 20% και ο κύκλος εργασιών αναφοράς ή τα ακαθ. έσοδα αναφοράς είναι μεγαλύτερα από 300 €.</v>
      </c>
      <c r="W293" s="28"/>
      <c r="X293" s="28"/>
    </row>
    <row r="294" spans="19:24" ht="15" customHeight="1">
      <c r="S294" s="28"/>
      <c r="T294" s="2">
        <f>T288</f>
        <v>0</v>
      </c>
      <c r="U294" s="136"/>
      <c r="V294" s="2"/>
      <c r="W294" s="28"/>
      <c r="X294" s="28"/>
    </row>
    <row r="295" spans="20:24" ht="15" customHeight="1">
      <c r="T295" s="2">
        <f>IF(F18=0,0,IF(F18="",0,IF(U284+U287+U293&gt;0,0,1)))</f>
        <v>0</v>
      </c>
      <c r="U295" s="136"/>
      <c r="V295" s="2"/>
      <c r="W295" s="28"/>
      <c r="X295" s="28"/>
    </row>
    <row r="296" spans="20:24" ht="15" customHeight="1">
      <c r="T296" s="2">
        <f>IF(W238&gt;0,1,0)</f>
        <v>0</v>
      </c>
      <c r="U296" s="136"/>
      <c r="V296" s="2"/>
      <c r="W296" s="28"/>
      <c r="X296" s="28"/>
    </row>
    <row r="297" spans="20:24" ht="15" customHeight="1">
      <c r="T297" s="31">
        <f>T294*T295*T296</f>
        <v>0</v>
      </c>
      <c r="U297" s="31">
        <f>T297</f>
        <v>0</v>
      </c>
      <c r="V297" s="52" t="str">
        <f>"Η επιχ/ση με ΚΑΔ "&amp;Q242&amp;" περιλαμβάνεται στον ΠΙΝΑΚΑ III τις ΓΔΟΥ 281/20 και είναι δικαιούχος επιστρεπτέας προκαταβολής ανεξαρτήτως μείωσης  κύκλου εργασιών, εφόσον ο κύκλος εργασιών αναφοράς ή τα ακαθάριστα έσοδα αναφοράς είναι μεγαλύτερα από 300 €."</f>
        <v>Η επιχ/ση με ΚΑΔ 0 περιλαμβάνεται στον ΠΙΝΑΚΑ III τις ΓΔΟΥ 281/20 και είναι δικαιούχος επιστρεπτέας προκαταβολής ανεξαρτήτως μείωσης  κύκλου εργασιών, εφόσον ο κύκλος εργασιών αναφοράς ή τα ακαθάριστα έσοδα αναφοράς είναι μεγαλύτερα από 300 €.</v>
      </c>
      <c r="W297" s="28"/>
      <c r="X297" s="28"/>
    </row>
    <row r="298" spans="19:24" ht="15" customHeight="1">
      <c r="S298" s="28"/>
      <c r="T298" s="2">
        <f>IF(F14="",0,P83)</f>
        <v>0</v>
      </c>
      <c r="U298" s="136"/>
      <c r="V298" s="2"/>
      <c r="W298" s="28"/>
      <c r="X298" s="28"/>
    </row>
    <row r="299" spans="20:24" ht="15" customHeight="1">
      <c r="T299" s="2">
        <f>IF(F18=0,0,IF(F18="",0,IF(U284+U287+U293+U297&gt;0,0,1)))</f>
        <v>0</v>
      </c>
      <c r="U299" s="31">
        <f>T299</f>
        <v>0</v>
      </c>
      <c r="V299" s="52" t="str">
        <f>"Η επιχ/ση με ΚΑΔ "&amp;Q242&amp;" δεν περιλαμβάνεται στον ΠΙΝΑΚΑ III τις ΓΔΟΥ 281/20 και είναι δικαιούχος επιστρ. προκαταβολής, εφόσον έχει μείωση κύκλου εργασιών τουλάχιστον 20% και ο κύκλος εργασιών αναφοράς ή τα ακαθ. έσοδα αναφοράς είναι μεγαλύτερα από 300 €."</f>
        <v>Η επιχ/ση με ΚΑΔ 0 δεν περιλαμβάνεται στον ΠΙΝΑΚΑ III τις ΓΔΟΥ 281/20 και είναι δικαιούχος επιστρ. προκαταβολής, εφόσον έχει μείωση κύκλου εργασιών τουλάχιστον 20% και ο κύκλος εργασιών αναφοράς ή τα ακαθ. έσοδα αναφοράς είναι μεγαλύτερα από 300 €.</v>
      </c>
      <c r="W299" s="28"/>
      <c r="X299" s="28"/>
    </row>
    <row r="300" spans="20:22" ht="15" customHeight="1">
      <c r="T300" s="2"/>
      <c r="U300" s="136"/>
      <c r="V300" s="136"/>
    </row>
    <row r="301" spans="20:22" ht="15" customHeight="1">
      <c r="T301" s="2"/>
      <c r="U301" s="136"/>
      <c r="V301" s="136"/>
    </row>
    <row r="302" spans="20:22" ht="15" customHeight="1">
      <c r="T302" s="2"/>
      <c r="U302" s="137">
        <f>IF(T282=0,0,IF(U284+U287+U293+U297+U299&gt;0,1,0))</f>
        <v>0</v>
      </c>
      <c r="V302" s="138">
        <f>IF(U302=0,"",IF(U284=1,V284,IF(U287=1,V287,IF(U293=1,V293,IF(U297=1,V297,IF(U299=1,V299,""))))))</f>
      </c>
    </row>
    <row r="303" spans="20:22" ht="15" customHeight="1">
      <c r="T303" s="2"/>
      <c r="U303" s="136"/>
      <c r="V303" s="136"/>
    </row>
    <row r="304" spans="19:22" ht="15" customHeight="1">
      <c r="S304" s="28"/>
      <c r="T304" s="2">
        <f>T282</f>
        <v>0</v>
      </c>
      <c r="U304" s="136"/>
      <c r="V304" s="136"/>
    </row>
    <row r="305" spans="20:22" ht="15" customHeight="1">
      <c r="T305" s="2">
        <f>IF(U302=0,0,1)</f>
        <v>0</v>
      </c>
      <c r="U305" s="136"/>
      <c r="V305" s="136"/>
    </row>
    <row r="306" spans="20:22" ht="15" customHeight="1">
      <c r="T306" s="2">
        <f>IF(U284+U287+U299&gt;0,0,1)</f>
        <v>1</v>
      </c>
      <c r="U306" s="136"/>
      <c r="V306" s="136"/>
    </row>
    <row r="307" spans="20:22" ht="15" customHeight="1">
      <c r="T307" s="31">
        <f>T304*T305*T306</f>
        <v>0</v>
      </c>
      <c r="U307" s="136"/>
      <c r="V307" s="136"/>
    </row>
    <row r="308" spans="20:22" ht="15" customHeight="1">
      <c r="T308" s="2">
        <f>IF(U293&gt;0,1,0)</f>
        <v>0</v>
      </c>
      <c r="U308" s="136"/>
      <c r="V308" s="136"/>
    </row>
    <row r="309" spans="20:22" ht="15" customHeight="1">
      <c r="T309" s="31">
        <f>T307*T308</f>
        <v>0</v>
      </c>
      <c r="U309" s="31">
        <f>T309</f>
        <v>0</v>
      </c>
      <c r="V309" s="136" t="str">
        <f>"ΚΑΔ ΕΞΑΙΡΕΣΗΣ ΑΠΟ ΤΟΝ ΠΙΝΑΚΑ III ΤΗΣ ΑΠΟΦΑΣΗΣ: "&amp;X237&amp;" "&amp;X238</f>
        <v>ΚΑΔ ΕΞΑΙΡΕΣΗΣ ΑΠΟ ΤΟΝ ΠΙΝΑΚΑ III ΤΗΣ ΑΠΟΦΑΣΗΣ:  </v>
      </c>
    </row>
    <row r="310" spans="20:22" ht="15" customHeight="1">
      <c r="T310" s="2">
        <f>T307</f>
        <v>0</v>
      </c>
      <c r="U310" s="136"/>
      <c r="V310" s="136"/>
    </row>
    <row r="311" spans="20:22" ht="15" customHeight="1">
      <c r="T311" s="2">
        <f>IF(U297&gt;0,1,0)</f>
        <v>0</v>
      </c>
      <c r="U311" s="136"/>
      <c r="V311" s="136"/>
    </row>
    <row r="312" spans="20:22" ht="15" customHeight="1">
      <c r="T312" s="31">
        <f>T310*T311</f>
        <v>0</v>
      </c>
      <c r="U312" s="31">
        <f>T312</f>
        <v>0</v>
      </c>
      <c r="V312" s="136" t="str">
        <f>"ΚΑΔ ΥΠΑΓΩΓΗΣ ΣΤΟΝ ΠΙΝΑΚΑ III ΤΗΣ ΑΠΟΦΑΣΗΣ: "&amp;X237&amp;" "&amp;X238</f>
        <v>ΚΑΔ ΥΠΑΓΩΓΗΣ ΣΤΟΝ ΠΙΝΑΚΑ III ΤΗΣ ΑΠΟΦΑΣΗΣ:  </v>
      </c>
    </row>
    <row r="313" spans="20:22" ht="15" customHeight="1">
      <c r="T313" s="2"/>
      <c r="U313" s="136"/>
      <c r="V313" s="136"/>
    </row>
    <row r="314" spans="20:22" ht="15" customHeight="1">
      <c r="T314" s="2"/>
      <c r="U314" s="137">
        <f>IF(T304=0,0,IF(U302=0,0,IF(U309+U312&gt;0,1,0)))</f>
        <v>0</v>
      </c>
      <c r="V314" s="139">
        <f>IF(U314=0,"",IF(U309=1,V309,IF(U312=1,V312,0)))</f>
      </c>
    </row>
    <row r="315" spans="20:22" ht="15" customHeight="1">
      <c r="T315" s="2"/>
      <c r="U315" s="136"/>
      <c r="V315" s="136"/>
    </row>
    <row r="316" spans="20:22" ht="15" customHeight="1">
      <c r="T316" s="2"/>
      <c r="U316" s="136"/>
      <c r="V316" s="136"/>
    </row>
    <row r="317" spans="20:22" ht="15" customHeight="1">
      <c r="T317" s="2"/>
      <c r="U317" s="136"/>
      <c r="V317" s="136"/>
    </row>
    <row r="318" spans="20:22" ht="15" customHeight="1">
      <c r="T318" s="2"/>
      <c r="U318" s="136"/>
      <c r="V318" s="136"/>
    </row>
    <row r="319" spans="20:22" ht="15" customHeight="1">
      <c r="T319" s="2"/>
      <c r="U319" s="136"/>
      <c r="V319" s="136"/>
    </row>
    <row r="320" spans="20:22" ht="15" customHeight="1">
      <c r="T320" s="2"/>
      <c r="U320" s="136"/>
      <c r="V320" s="136"/>
    </row>
    <row r="321" spans="20:22" ht="15" customHeight="1">
      <c r="T321" s="2"/>
      <c r="U321" s="136"/>
      <c r="V321" s="136"/>
    </row>
    <row r="322" spans="20:22" ht="15" customHeight="1">
      <c r="T322" s="2"/>
      <c r="U322" s="136"/>
      <c r="V322" s="136"/>
    </row>
    <row r="323" spans="20:22" ht="15" customHeight="1">
      <c r="T323" s="2"/>
      <c r="U323" s="136"/>
      <c r="V323" s="136"/>
    </row>
    <row r="324" spans="20:22" ht="15" customHeight="1">
      <c r="T324" s="2"/>
      <c r="U324" s="136"/>
      <c r="V324" s="136"/>
    </row>
    <row r="325" spans="20:22" ht="15" customHeight="1">
      <c r="T325" s="2"/>
      <c r="U325" s="136"/>
      <c r="V325" s="136"/>
    </row>
    <row r="326" spans="20:22" ht="15" customHeight="1">
      <c r="T326" s="2"/>
      <c r="U326" s="136"/>
      <c r="V326" s="136"/>
    </row>
    <row r="327" spans="20:22" ht="15" customHeight="1">
      <c r="T327" s="2"/>
      <c r="U327" s="136"/>
      <c r="V327" s="136"/>
    </row>
    <row r="328" spans="20:22" ht="15" customHeight="1">
      <c r="T328" s="2"/>
      <c r="U328" s="136"/>
      <c r="V328" s="136"/>
    </row>
    <row r="329" spans="20:22" ht="15" customHeight="1">
      <c r="T329" s="2"/>
      <c r="U329" s="136"/>
      <c r="V329" s="136"/>
    </row>
    <row r="330" spans="20:22" ht="15" customHeight="1">
      <c r="T330" s="2"/>
      <c r="U330" s="136"/>
      <c r="V330" s="136"/>
    </row>
    <row r="331" spans="20:22" ht="15" customHeight="1">
      <c r="T331" s="2"/>
      <c r="U331" s="136"/>
      <c r="V331" s="136"/>
    </row>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sheetData>
  <sheetProtection password="FD49" sheet="1" selectLockedCells="1"/>
  <mergeCells count="66">
    <mergeCell ref="B53:F53"/>
    <mergeCell ref="D6:F6"/>
    <mergeCell ref="B10:E10"/>
    <mergeCell ref="B21:F21"/>
    <mergeCell ref="B13:F13"/>
    <mergeCell ref="B15:F15"/>
    <mergeCell ref="B17:F17"/>
    <mergeCell ref="B14:E14"/>
    <mergeCell ref="B16:E16"/>
    <mergeCell ref="B18:E18"/>
    <mergeCell ref="B19:F19"/>
    <mergeCell ref="B2:F2"/>
    <mergeCell ref="B29:E29"/>
    <mergeCell ref="D8:F8"/>
    <mergeCell ref="B23:C23"/>
    <mergeCell ref="D23:F23"/>
    <mergeCell ref="B7:F7"/>
    <mergeCell ref="B24:F24"/>
    <mergeCell ref="B22:F22"/>
    <mergeCell ref="B6:C6"/>
    <mergeCell ref="B4:F4"/>
    <mergeCell ref="B47:E47"/>
    <mergeCell ref="B34:F34"/>
    <mergeCell ref="B41:E41"/>
    <mergeCell ref="B44:F44"/>
    <mergeCell ref="B38:F38"/>
    <mergeCell ref="B40:F40"/>
    <mergeCell ref="B42:F42"/>
    <mergeCell ref="B35:E35"/>
    <mergeCell ref="B12:E12"/>
    <mergeCell ref="B26:F26"/>
    <mergeCell ref="B45:G45"/>
    <mergeCell ref="B20:F20"/>
    <mergeCell ref="B30:F30"/>
    <mergeCell ref="B31:E31"/>
    <mergeCell ref="B33:E33"/>
    <mergeCell ref="B50:E50"/>
    <mergeCell ref="E56:F56"/>
    <mergeCell ref="B56:D56"/>
    <mergeCell ref="A1:F1"/>
    <mergeCell ref="B37:E37"/>
    <mergeCell ref="B39:E39"/>
    <mergeCell ref="B3:F3"/>
    <mergeCell ref="B8:C8"/>
    <mergeCell ref="B27:E27"/>
    <mergeCell ref="B28:F28"/>
    <mergeCell ref="E58:F58"/>
    <mergeCell ref="B59:F59"/>
    <mergeCell ref="E63:F63"/>
    <mergeCell ref="B61:F61"/>
    <mergeCell ref="E62:F62"/>
    <mergeCell ref="B49:E49"/>
    <mergeCell ref="B54:F54"/>
    <mergeCell ref="B57:F57"/>
    <mergeCell ref="B51:E51"/>
    <mergeCell ref="B52:E52"/>
    <mergeCell ref="R233:W233"/>
    <mergeCell ref="B11:F11"/>
    <mergeCell ref="B9:F9"/>
    <mergeCell ref="B25:E25"/>
    <mergeCell ref="B32:F32"/>
    <mergeCell ref="E64:F64"/>
    <mergeCell ref="B55:F55"/>
    <mergeCell ref="B60:F60"/>
    <mergeCell ref="B48:E48"/>
    <mergeCell ref="B58:D58"/>
  </mergeCells>
  <conditionalFormatting sqref="F33">
    <cfRule type="expression" priority="25" dxfId="23" stopIfTrue="1">
      <formula>$B$33=""</formula>
    </cfRule>
  </conditionalFormatting>
  <conditionalFormatting sqref="F31">
    <cfRule type="expression" priority="23" dxfId="23" stopIfTrue="1">
      <formula>$B$31=""</formula>
    </cfRule>
  </conditionalFormatting>
  <conditionalFormatting sqref="F27">
    <cfRule type="expression" priority="22" dxfId="23" stopIfTrue="1">
      <formula>$B$27=""</formula>
    </cfRule>
  </conditionalFormatting>
  <conditionalFormatting sqref="F29">
    <cfRule type="expression" priority="21" dxfId="23" stopIfTrue="1">
      <formula>$B$29=""</formula>
    </cfRule>
  </conditionalFormatting>
  <conditionalFormatting sqref="F25">
    <cfRule type="expression" priority="20" dxfId="23" stopIfTrue="1">
      <formula>$B$25=""</formula>
    </cfRule>
  </conditionalFormatting>
  <conditionalFormatting sqref="F37">
    <cfRule type="expression" priority="83" dxfId="24" stopIfTrue="1">
      <formula>$B$37=""</formula>
    </cfRule>
  </conditionalFormatting>
  <conditionalFormatting sqref="F39">
    <cfRule type="expression" priority="84" dxfId="24" stopIfTrue="1">
      <formula>$B$39=""</formula>
    </cfRule>
  </conditionalFormatting>
  <conditionalFormatting sqref="F41">
    <cfRule type="expression" priority="87" dxfId="24" stopIfTrue="1">
      <formula>$B$41=""</formula>
    </cfRule>
  </conditionalFormatting>
  <conditionalFormatting sqref="B45:G45">
    <cfRule type="cellIs" priority="89" dxfId="25" operator="equal" stopIfTrue="1">
      <formula>""</formula>
    </cfRule>
    <cfRule type="expression" priority="90" dxfId="26" stopIfTrue="1">
      <formula>$Y$88&gt;0</formula>
    </cfRule>
  </conditionalFormatting>
  <conditionalFormatting sqref="B47:F52">
    <cfRule type="cellIs" priority="19" dxfId="12" operator="equal" stopIfTrue="1">
      <formula>""</formula>
    </cfRule>
  </conditionalFormatting>
  <conditionalFormatting sqref="F35">
    <cfRule type="expression" priority="4" dxfId="23" stopIfTrue="1">
      <formula>$B$35=""</formula>
    </cfRule>
  </conditionalFormatting>
  <conditionalFormatting sqref="B31 B25:E25 B33 B35">
    <cfRule type="expression" priority="117" dxfId="27" stopIfTrue="1">
      <formula>$N$82=0</formula>
    </cfRule>
  </conditionalFormatting>
  <conditionalFormatting sqref="D23:F23">
    <cfRule type="expression" priority="130" dxfId="23" stopIfTrue="1">
      <formula>$F$14=""</formula>
    </cfRule>
    <cfRule type="expression" priority="131" dxfId="24" stopIfTrue="1">
      <formula>$U$302=0</formula>
    </cfRule>
  </conditionalFormatting>
  <conditionalFormatting sqref="F10">
    <cfRule type="expression" priority="132" dxfId="24" stopIfTrue="1">
      <formula>$V$65=0</formula>
    </cfRule>
  </conditionalFormatting>
  <conditionalFormatting sqref="F14">
    <cfRule type="expression" priority="133" dxfId="23" stopIfTrue="1">
      <formula>$P$73=0</formula>
    </cfRule>
  </conditionalFormatting>
  <conditionalFormatting sqref="F16 F18">
    <cfRule type="expression" priority="134" dxfId="23" stopIfTrue="1">
      <formula>$P$75=0</formula>
    </cfRule>
  </conditionalFormatting>
  <conditionalFormatting sqref="F18">
    <cfRule type="expression" priority="136" dxfId="23" stopIfTrue="1">
      <formula>$P$77=0</formula>
    </cfRule>
  </conditionalFormatting>
  <conditionalFormatting sqref="F12">
    <cfRule type="expression" priority="137" dxfId="23" stopIfTrue="1">
      <formula>$Q$71=0</formula>
    </cfRule>
  </conditionalFormatting>
  <conditionalFormatting sqref="B20:F20">
    <cfRule type="expression" priority="138" dxfId="1" stopIfTrue="1">
      <formula>$U$302&gt;0</formula>
    </cfRule>
  </conditionalFormatting>
  <conditionalFormatting sqref="B21:F21">
    <cfRule type="expression" priority="139" dxfId="1" stopIfTrue="1">
      <formula>$U$314&gt;0</formula>
    </cfRule>
  </conditionalFormatting>
  <conditionalFormatting sqref="B53:F53">
    <cfRule type="expression" priority="1" dxfId="0" stopIfTrue="1">
      <formula>$B$53=""</formula>
    </cfRule>
  </conditionalFormatting>
  <dataValidations count="7">
    <dataValidation type="decimal" operator="lessThan" allowBlank="1" showInputMessage="1" showErrorMessage="1" sqref="F33 F37 F39 F35 F29 F25">
      <formula1>999999999999</formula1>
    </dataValidation>
    <dataValidation operator="greaterThanOrEqual" allowBlank="1" showInputMessage="1" showErrorMessage="1" sqref="F31 F18"/>
    <dataValidation type="list" allowBlank="1" showInputMessage="1" showErrorMessage="1" sqref="D23:F23">
      <formula1>$W$71:$W$74</formula1>
    </dataValidation>
    <dataValidation type="decimal" operator="lessThan" allowBlank="1" showInputMessage="1" showErrorMessage="1" sqref="F27">
      <formula1>99999999999</formula1>
    </dataValidation>
    <dataValidation type="list" allowBlank="1" showInputMessage="1" showErrorMessage="1" sqref="D8:F8">
      <formula1>$W$64:$W$66</formula1>
    </dataValidation>
    <dataValidation type="whole" operator="greaterThanOrEqual" allowBlank="1" showInputMessage="1" showErrorMessage="1" sqref="F10 F41">
      <formula1>0</formula1>
    </dataValidation>
    <dataValidation type="list" operator="greaterThanOrEqual" allowBlank="1" showInputMessage="1" showErrorMessage="1" sqref="F12 F14 F16">
      <formula1>$W$67:$W$69</formula1>
    </dataValidation>
  </dataValidations>
  <printOptions horizontalCentered="1"/>
  <pageMargins left="0.31496062992125984" right="0.31496062992125984" top="0.5511811023622047" bottom="0.5511811023622047" header="0.31496062992125984" footer="0.31496062992125984"/>
  <pageSetup horizontalDpi="600" verticalDpi="600" orientation="portrait" paperSize="9"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2020-10-13T06:14:00Z</cp:lastPrinted>
  <dcterms:created xsi:type="dcterms:W3CDTF">2020-05-04T05:07:39Z</dcterms:created>
  <dcterms:modified xsi:type="dcterms:W3CDTF">2020-11-16T16:59:12Z</dcterms:modified>
  <cp:category/>
  <cp:version/>
  <cp:contentType/>
  <cp:contentStatus/>
</cp:coreProperties>
</file>